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3275" windowHeight="8655" tabRatio="663"/>
  </bookViews>
  <sheets>
    <sheet name="Above Ground Pumps" sheetId="1" r:id="rId1"/>
    <sheet name="Submersible Wastewater (1)" sheetId="2" r:id="rId2"/>
    <sheet name="Submersible Wastewater (2)" sheetId="5" r:id="rId3"/>
    <sheet name="Vertical Turbine" sheetId="3" r:id="rId4"/>
    <sheet name="Instructions" sheetId="4" r:id="rId5"/>
  </sheets>
  <calcPr calcId="125725"/>
</workbook>
</file>

<file path=xl/calcChain.xml><?xml version="1.0" encoding="utf-8"?>
<calcChain xmlns="http://schemas.openxmlformats.org/spreadsheetml/2006/main">
  <c r="F23" i="5"/>
  <c r="F22"/>
  <c r="E24" s="1"/>
  <c r="G54" i="3"/>
  <c r="F54"/>
  <c r="E54"/>
  <c r="D54"/>
  <c r="C54"/>
  <c r="B54"/>
  <c r="G53"/>
  <c r="F53"/>
  <c r="E53"/>
  <c r="D53"/>
  <c r="C53"/>
  <c r="B53"/>
  <c r="E66" i="2"/>
  <c r="D66"/>
  <c r="C66"/>
  <c r="B66"/>
  <c r="B65"/>
  <c r="E65"/>
  <c r="D65"/>
  <c r="C65"/>
  <c r="G47" i="3"/>
  <c r="F47"/>
  <c r="E47"/>
  <c r="D47"/>
  <c r="C47"/>
  <c r="B47"/>
  <c r="B46" i="5"/>
  <c r="E46" i="2"/>
  <c r="D46"/>
  <c r="C46"/>
  <c r="B46"/>
  <c r="G47" i="1"/>
  <c r="F47"/>
  <c r="E47"/>
  <c r="D47"/>
  <c r="C47"/>
  <c r="B47"/>
  <c r="E20" i="5"/>
  <c r="E19"/>
  <c r="F18"/>
  <c r="E21" s="1"/>
  <c r="F17"/>
  <c r="F16"/>
  <c r="F25" l="1"/>
  <c r="E25" s="1"/>
  <c r="E59"/>
  <c r="E62" s="1"/>
  <c r="D59"/>
  <c r="D62" s="1"/>
  <c r="C59"/>
  <c r="C62" s="1"/>
  <c r="B42"/>
  <c r="B59" s="1"/>
  <c r="B62" s="1"/>
  <c r="E51"/>
  <c r="E54" s="1"/>
  <c r="D51"/>
  <c r="D54" s="1"/>
  <c r="C40"/>
  <c r="C51" s="1"/>
  <c r="C54" s="1"/>
  <c r="B40"/>
  <c r="B51" s="1"/>
  <c r="B54" s="1"/>
  <c r="E23" i="2"/>
  <c r="E24" s="1"/>
  <c r="D23"/>
  <c r="D24" s="1"/>
  <c r="C23"/>
  <c r="C24" s="1"/>
  <c r="B23"/>
  <c r="B24" s="1"/>
  <c r="B21"/>
  <c r="B22" s="1"/>
  <c r="G22" i="3"/>
  <c r="G23" s="1"/>
  <c r="G24" s="1"/>
  <c r="G45" s="1"/>
  <c r="G48"/>
  <c r="G50" s="1"/>
  <c r="F48"/>
  <c r="F50" s="1"/>
  <c r="E48"/>
  <c r="E50" s="1"/>
  <c r="D48"/>
  <c r="D50" s="1"/>
  <c r="C48"/>
  <c r="C50" s="1"/>
  <c r="B48"/>
  <c r="B50" s="1"/>
  <c r="G43"/>
  <c r="G65" s="1"/>
  <c r="F43"/>
  <c r="F65" s="1"/>
  <c r="G41"/>
  <c r="G46" s="1"/>
  <c r="G49" s="1"/>
  <c r="F41"/>
  <c r="F46" s="1"/>
  <c r="F49" s="1"/>
  <c r="F22"/>
  <c r="F23" s="1"/>
  <c r="F24" s="1"/>
  <c r="F45" s="1"/>
  <c r="G43" i="1"/>
  <c r="F43"/>
  <c r="G41"/>
  <c r="F41"/>
  <c r="G25"/>
  <c r="G26" s="1"/>
  <c r="F25"/>
  <c r="F26" s="1"/>
  <c r="G23"/>
  <c r="G24" s="1"/>
  <c r="F23"/>
  <c r="F24" s="1"/>
  <c r="E43" i="3"/>
  <c r="E65" s="1"/>
  <c r="D43"/>
  <c r="D65" s="1"/>
  <c r="C43"/>
  <c r="C65" s="1"/>
  <c r="B43"/>
  <c r="B65" s="1"/>
  <c r="E41"/>
  <c r="E46" s="1"/>
  <c r="D41"/>
  <c r="D46" s="1"/>
  <c r="D49" s="1"/>
  <c r="C41"/>
  <c r="B41"/>
  <c r="E42" i="2"/>
  <c r="E59" s="1"/>
  <c r="E62" s="1"/>
  <c r="D42"/>
  <c r="D59" s="1"/>
  <c r="D62" s="1"/>
  <c r="C42"/>
  <c r="C59" s="1"/>
  <c r="C62" s="1"/>
  <c r="B42"/>
  <c r="B59" s="1"/>
  <c r="B62" s="1"/>
  <c r="E40"/>
  <c r="E45" s="1"/>
  <c r="D40"/>
  <c r="D45" s="1"/>
  <c r="C40"/>
  <c r="C45" s="1"/>
  <c r="B40"/>
  <c r="B51" s="1"/>
  <c r="B54" s="1"/>
  <c r="E43" i="1"/>
  <c r="D43"/>
  <c r="C43"/>
  <c r="E41"/>
  <c r="D41"/>
  <c r="C41"/>
  <c r="B43"/>
  <c r="B41"/>
  <c r="E23"/>
  <c r="E24" s="1"/>
  <c r="D23"/>
  <c r="D24" s="1"/>
  <c r="C23"/>
  <c r="C24" s="1"/>
  <c r="B23"/>
  <c r="B24" s="1"/>
  <c r="E22" i="3"/>
  <c r="E23" s="1"/>
  <c r="E24" s="1"/>
  <c r="D22"/>
  <c r="D23" s="1"/>
  <c r="D24" s="1"/>
  <c r="D45" s="1"/>
  <c r="C22"/>
  <c r="C23" s="1"/>
  <c r="C24" s="1"/>
  <c r="C45" s="1"/>
  <c r="B22"/>
  <c r="B23" s="1"/>
  <c r="B24" s="1"/>
  <c r="B45" s="1"/>
  <c r="E21" i="2"/>
  <c r="E22" s="1"/>
  <c r="D21"/>
  <c r="D22" s="1"/>
  <c r="C21"/>
  <c r="C22" s="1"/>
  <c r="E25" i="1"/>
  <c r="E26" s="1"/>
  <c r="E27" s="1"/>
  <c r="D25"/>
  <c r="D26" s="1"/>
  <c r="C25"/>
  <c r="C26" s="1"/>
  <c r="C27" s="1"/>
  <c r="B25"/>
  <c r="B26" s="1"/>
  <c r="B27" l="1"/>
  <c r="E45"/>
  <c r="E49" s="1"/>
  <c r="E67" s="1"/>
  <c r="D27"/>
  <c r="C45"/>
  <c r="C49" s="1"/>
  <c r="C67" s="1"/>
  <c r="B45"/>
  <c r="B49" s="1"/>
  <c r="B67" s="1"/>
  <c r="B21" i="5"/>
  <c r="B22" s="1"/>
  <c r="B25" s="1"/>
  <c r="B44" s="1"/>
  <c r="B23"/>
  <c r="B24" s="1"/>
  <c r="B25" i="2"/>
  <c r="D25"/>
  <c r="E25"/>
  <c r="C46" i="3"/>
  <c r="C49" s="1"/>
  <c r="C51" s="1"/>
  <c r="B46"/>
  <c r="B49" s="1"/>
  <c r="B51" s="1"/>
  <c r="E49"/>
  <c r="D51"/>
  <c r="F51"/>
  <c r="G51"/>
  <c r="C49" i="5"/>
  <c r="C52" s="1"/>
  <c r="E49"/>
  <c r="E52" s="1"/>
  <c r="C50"/>
  <c r="C53" s="1"/>
  <c r="E50"/>
  <c r="E53" s="1"/>
  <c r="C57"/>
  <c r="C60" s="1"/>
  <c r="E57"/>
  <c r="E60" s="1"/>
  <c r="C58"/>
  <c r="C61" s="1"/>
  <c r="E58"/>
  <c r="E61" s="1"/>
  <c r="B45"/>
  <c r="B49"/>
  <c r="B52" s="1"/>
  <c r="D49"/>
  <c r="D52" s="1"/>
  <c r="B50"/>
  <c r="B53" s="1"/>
  <c r="D50"/>
  <c r="D53" s="1"/>
  <c r="B57"/>
  <c r="B60" s="1"/>
  <c r="D57"/>
  <c r="D60" s="1"/>
  <c r="B58"/>
  <c r="B61" s="1"/>
  <c r="D58"/>
  <c r="D61" s="1"/>
  <c r="C25" i="2"/>
  <c r="C44" s="1"/>
  <c r="E44"/>
  <c r="D44"/>
  <c r="B44"/>
  <c r="B48" s="1"/>
  <c r="G27" i="1"/>
  <c r="F27"/>
  <c r="C55" i="3"/>
  <c r="C58" s="1"/>
  <c r="E55"/>
  <c r="E58" s="1"/>
  <c r="G55"/>
  <c r="G58" s="1"/>
  <c r="C56"/>
  <c r="C59" s="1"/>
  <c r="E56"/>
  <c r="E59" s="1"/>
  <c r="G56"/>
  <c r="G59" s="1"/>
  <c r="C57"/>
  <c r="C60" s="1"/>
  <c r="C42" s="1"/>
  <c r="E57"/>
  <c r="E60" s="1"/>
  <c r="E42" s="1"/>
  <c r="G57"/>
  <c r="G60" s="1"/>
  <c r="G42" s="1"/>
  <c r="C63"/>
  <c r="C66" s="1"/>
  <c r="E63"/>
  <c r="G63"/>
  <c r="G66" s="1"/>
  <c r="C64"/>
  <c r="C67" s="1"/>
  <c r="E64"/>
  <c r="E67" s="1"/>
  <c r="G64"/>
  <c r="D55"/>
  <c r="D58" s="1"/>
  <c r="F55"/>
  <c r="F58" s="1"/>
  <c r="B56"/>
  <c r="B59" s="1"/>
  <c r="D56"/>
  <c r="D59" s="1"/>
  <c r="F56"/>
  <c r="F59" s="1"/>
  <c r="B57"/>
  <c r="B60" s="1"/>
  <c r="B42" s="1"/>
  <c r="D57"/>
  <c r="D60" s="1"/>
  <c r="D42" s="1"/>
  <c r="F57"/>
  <c r="F60" s="1"/>
  <c r="F42" s="1"/>
  <c r="B63"/>
  <c r="B66" s="1"/>
  <c r="D63"/>
  <c r="D66" s="1"/>
  <c r="F63"/>
  <c r="F66" s="1"/>
  <c r="B64"/>
  <c r="B67" s="1"/>
  <c r="D64"/>
  <c r="D67" s="1"/>
  <c r="F64"/>
  <c r="F67" s="1"/>
  <c r="B68"/>
  <c r="D68"/>
  <c r="D44" s="1"/>
  <c r="F68"/>
  <c r="F44" s="1"/>
  <c r="B55"/>
  <c r="E66"/>
  <c r="G67"/>
  <c r="C68"/>
  <c r="E68"/>
  <c r="E44" s="1"/>
  <c r="G68"/>
  <c r="C49" i="2"/>
  <c r="C52" s="1"/>
  <c r="E49"/>
  <c r="E52" s="1"/>
  <c r="C50"/>
  <c r="C53" s="1"/>
  <c r="E50"/>
  <c r="E53" s="1"/>
  <c r="C51"/>
  <c r="C54" s="1"/>
  <c r="E51"/>
  <c r="E54" s="1"/>
  <c r="C57"/>
  <c r="C60" s="1"/>
  <c r="E57"/>
  <c r="E60" s="1"/>
  <c r="C58"/>
  <c r="C61" s="1"/>
  <c r="E58"/>
  <c r="E61" s="1"/>
  <c r="B49"/>
  <c r="B52" s="1"/>
  <c r="D49"/>
  <c r="D52" s="1"/>
  <c r="B50"/>
  <c r="B53" s="1"/>
  <c r="D50"/>
  <c r="D53" s="1"/>
  <c r="D51"/>
  <c r="D54" s="1"/>
  <c r="B57"/>
  <c r="B60" s="1"/>
  <c r="D57"/>
  <c r="D60" s="1"/>
  <c r="B58"/>
  <c r="B61" s="1"/>
  <c r="D58"/>
  <c r="D61" s="1"/>
  <c r="B59" i="1"/>
  <c r="B62" s="1"/>
  <c r="B60"/>
  <c r="B63" s="1"/>
  <c r="B58"/>
  <c r="B61" s="1"/>
  <c r="C60"/>
  <c r="C63" s="1"/>
  <c r="C58"/>
  <c r="C61" s="1"/>
  <c r="C59"/>
  <c r="C62" s="1"/>
  <c r="D59"/>
  <c r="D62" s="1"/>
  <c r="D60"/>
  <c r="D63" s="1"/>
  <c r="D58"/>
  <c r="D61" s="1"/>
  <c r="E60"/>
  <c r="E63" s="1"/>
  <c r="E58"/>
  <c r="E61" s="1"/>
  <c r="E59"/>
  <c r="E62" s="1"/>
  <c r="F59"/>
  <c r="F62" s="1"/>
  <c r="F60"/>
  <c r="F63" s="1"/>
  <c r="F58"/>
  <c r="F61" s="1"/>
  <c r="G60"/>
  <c r="G63" s="1"/>
  <c r="G58"/>
  <c r="G61" s="1"/>
  <c r="G59"/>
  <c r="G62" s="1"/>
  <c r="E51"/>
  <c r="E54" s="1"/>
  <c r="E52"/>
  <c r="E55" s="1"/>
  <c r="E50"/>
  <c r="D52"/>
  <c r="D55" s="1"/>
  <c r="D50"/>
  <c r="D53" s="1"/>
  <c r="D51"/>
  <c r="D54" s="1"/>
  <c r="C50"/>
  <c r="C53" s="1"/>
  <c r="C51"/>
  <c r="C54" s="1"/>
  <c r="C52"/>
  <c r="C55" s="1"/>
  <c r="F51"/>
  <c r="F54" s="1"/>
  <c r="F52"/>
  <c r="F55" s="1"/>
  <c r="F50"/>
  <c r="G46"/>
  <c r="G51"/>
  <c r="G54" s="1"/>
  <c r="G52"/>
  <c r="G55" s="1"/>
  <c r="G50"/>
  <c r="B52"/>
  <c r="B55" s="1"/>
  <c r="B50"/>
  <c r="B53" s="1"/>
  <c r="B51"/>
  <c r="B54" s="1"/>
  <c r="E46"/>
  <c r="C46"/>
  <c r="B46"/>
  <c r="F46"/>
  <c r="E45" i="3"/>
  <c r="B45" i="2"/>
  <c r="B47" s="1"/>
  <c r="D46" i="1"/>
  <c r="C48" l="1"/>
  <c r="C66" s="1"/>
  <c r="E48"/>
  <c r="E66" s="1"/>
  <c r="G45"/>
  <c r="G49" s="1"/>
  <c r="G67" s="1"/>
  <c r="F45"/>
  <c r="F49" s="1"/>
  <c r="F67" s="1"/>
  <c r="D45"/>
  <c r="D49" s="1"/>
  <c r="D67" s="1"/>
  <c r="D48"/>
  <c r="D66" s="1"/>
  <c r="B48" i="5"/>
  <c r="B66"/>
  <c r="D47" i="2"/>
  <c r="D48"/>
  <c r="C47"/>
  <c r="C48"/>
  <c r="E47"/>
  <c r="E48"/>
  <c r="E51" i="3"/>
  <c r="G61"/>
  <c r="F61"/>
  <c r="B47" i="5"/>
  <c r="B65" s="1"/>
  <c r="F62" i="3"/>
  <c r="G62"/>
  <c r="D52"/>
  <c r="E52"/>
  <c r="C61"/>
  <c r="C62" s="1"/>
  <c r="F52"/>
  <c r="B63" i="5"/>
  <c r="B64" s="1"/>
  <c r="B43" s="1"/>
  <c r="B55"/>
  <c r="C63"/>
  <c r="C64" s="1"/>
  <c r="C55"/>
  <c r="C56" s="1"/>
  <c r="C41" s="1"/>
  <c r="D63"/>
  <c r="D64" s="1"/>
  <c r="D55"/>
  <c r="D56" s="1"/>
  <c r="E63"/>
  <c r="E64" s="1"/>
  <c r="E55"/>
  <c r="E56" s="1"/>
  <c r="D64" i="1"/>
  <c r="B64"/>
  <c r="B65" s="1"/>
  <c r="B44" s="1"/>
  <c r="E64"/>
  <c r="E65" s="1"/>
  <c r="E44" s="1"/>
  <c r="F64"/>
  <c r="F65" s="1"/>
  <c r="F44" s="1"/>
  <c r="G53"/>
  <c r="G56" s="1"/>
  <c r="G57" s="1"/>
  <c r="G42" s="1"/>
  <c r="F53"/>
  <c r="F56" s="1"/>
  <c r="F57" s="1"/>
  <c r="F42" s="1"/>
  <c r="E53"/>
  <c r="E56" s="1"/>
  <c r="E57" s="1"/>
  <c r="E42" s="1"/>
  <c r="F48"/>
  <c r="F66" s="1"/>
  <c r="B58" i="3"/>
  <c r="B61" s="1"/>
  <c r="B62" s="1"/>
  <c r="G69"/>
  <c r="G70" s="1"/>
  <c r="C69"/>
  <c r="C70" s="1"/>
  <c r="F69"/>
  <c r="F70" s="1"/>
  <c r="B69"/>
  <c r="B70" s="1"/>
  <c r="B44" s="1"/>
  <c r="B52" s="1"/>
  <c r="G44"/>
  <c r="G52" s="1"/>
  <c r="C44"/>
  <c r="C52" s="1"/>
  <c r="E69"/>
  <c r="E70" s="1"/>
  <c r="E61"/>
  <c r="E62" s="1"/>
  <c r="D69"/>
  <c r="D70" s="1"/>
  <c r="D61"/>
  <c r="D62" s="1"/>
  <c r="B63" i="2"/>
  <c r="B64" s="1"/>
  <c r="B43" s="1"/>
  <c r="D55"/>
  <c r="D56" s="1"/>
  <c r="D41" s="1"/>
  <c r="E63"/>
  <c r="E64" s="1"/>
  <c r="E43" s="1"/>
  <c r="D63"/>
  <c r="D64" s="1"/>
  <c r="D43" s="1"/>
  <c r="B55"/>
  <c r="B56" s="1"/>
  <c r="B41" s="1"/>
  <c r="C63"/>
  <c r="C64" s="1"/>
  <c r="C43" s="1"/>
  <c r="C55"/>
  <c r="C56" s="1"/>
  <c r="C41" s="1"/>
  <c r="E55"/>
  <c r="E56" s="1"/>
  <c r="E41" s="1"/>
  <c r="C64" i="1"/>
  <c r="C65" s="1"/>
  <c r="C44" s="1"/>
  <c r="D65"/>
  <c r="D44" s="1"/>
  <c r="G64"/>
  <c r="G65" s="1"/>
  <c r="G44" s="1"/>
  <c r="D56"/>
  <c r="D57" s="1"/>
  <c r="D42" s="1"/>
  <c r="C56"/>
  <c r="C57" s="1"/>
  <c r="C42" s="1"/>
  <c r="B56"/>
  <c r="B57" s="1"/>
  <c r="B42" s="1"/>
  <c r="B48"/>
  <c r="B66" s="1"/>
  <c r="G48" l="1"/>
  <c r="G66" s="1"/>
  <c r="B56" i="5"/>
  <c r="B41" s="1"/>
</calcChain>
</file>

<file path=xl/sharedStrings.xml><?xml version="1.0" encoding="utf-8"?>
<sst xmlns="http://schemas.openxmlformats.org/spreadsheetml/2006/main" count="606" uniqueCount="287">
  <si>
    <t>Motor Serial Number</t>
  </si>
  <si>
    <t>Pump Serial Number</t>
  </si>
  <si>
    <t>Time of Day</t>
  </si>
  <si>
    <t>Pump</t>
  </si>
  <si>
    <t>TDH (ft)</t>
  </si>
  <si>
    <t>Average Voltage</t>
  </si>
  <si>
    <t>Average Amperage</t>
  </si>
  <si>
    <t>Date:</t>
  </si>
  <si>
    <t>Entered Data</t>
  </si>
  <si>
    <t>Calculated Results</t>
  </si>
  <si>
    <t xml:space="preserve">    Witness</t>
  </si>
  <si>
    <t>Discharge Gauge Head (ft)</t>
  </si>
  <si>
    <t>Discharge Velocity (fps)</t>
  </si>
  <si>
    <t>Hydraulic HP @ 100% Eff</t>
  </si>
  <si>
    <t>Suction Piping ID (in)</t>
  </si>
  <si>
    <t>Suction Velocity (fps)</t>
  </si>
  <si>
    <t>Suction Hv (ft)</t>
  </si>
  <si>
    <t>Discharge Hv (ft)</t>
  </si>
  <si>
    <t>Discharge Gauge to Waterline (ft)</t>
  </si>
  <si>
    <t>Friction Loss (Column &amp; Elbow ft)</t>
  </si>
  <si>
    <t>Discharge Elbow (Pipe) ID</t>
  </si>
  <si>
    <t>Velocity Head (Hv in ft)</t>
  </si>
  <si>
    <t>Centrifugal Pump Field Test Procedure  (Suction &amp; Discharge Gauge Measurement)</t>
  </si>
  <si>
    <t>Discharge Pipe ID (in)</t>
  </si>
  <si>
    <t>Ambient Temp</t>
  </si>
  <si>
    <t>Motor Temp</t>
  </si>
  <si>
    <t>Where</t>
  </si>
  <si>
    <t>Hvd=</t>
  </si>
  <si>
    <t>vertical distance between the</t>
  </si>
  <si>
    <t>Hs  =</t>
  </si>
  <si>
    <t>Hd =</t>
  </si>
  <si>
    <t>GG =</t>
  </si>
  <si>
    <t>Fd =</t>
  </si>
  <si>
    <t>Hvs=</t>
  </si>
  <si>
    <t>Ambient Temperature</t>
  </si>
  <si>
    <t>Motor Temperature</t>
  </si>
  <si>
    <t>Stuffing Box Temperature</t>
  </si>
  <si>
    <t>Lwr Motor Bearing Temperature</t>
  </si>
  <si>
    <t>TDH = Hd + GW + F + Hv</t>
  </si>
  <si>
    <t>GW =</t>
  </si>
  <si>
    <t>gauge and wet well level</t>
  </si>
  <si>
    <t>F =</t>
  </si>
  <si>
    <t>friction in the discharge piping</t>
  </si>
  <si>
    <t>from pump to gauge</t>
  </si>
  <si>
    <t>Hv=</t>
  </si>
  <si>
    <t>velocity head at the gauge</t>
  </si>
  <si>
    <t>Printing -</t>
  </si>
  <si>
    <t xml:space="preserve">    Bellevue WA - Moses Lake WA - Canby OR</t>
  </si>
  <si>
    <t>Manufacturer / Model # / etc</t>
  </si>
  <si>
    <t>Motor - 3 Phase</t>
  </si>
  <si>
    <t>Voltage - Phase a to b</t>
  </si>
  <si>
    <t>Voltage - Phase b to c</t>
  </si>
  <si>
    <t>Amperage - Phase a to b</t>
  </si>
  <si>
    <t>Amperage - Phase b to c</t>
  </si>
  <si>
    <t>Amperage - Phase c to a</t>
  </si>
  <si>
    <t>Voltage - Phase c to a</t>
  </si>
  <si>
    <t>Set to landscape @ 75% of full size</t>
  </si>
  <si>
    <t>Va =</t>
  </si>
  <si>
    <t>Aa =</t>
  </si>
  <si>
    <t>E =</t>
  </si>
  <si>
    <t>PF =</t>
  </si>
  <si>
    <t>average voltage</t>
  </si>
  <si>
    <t>average amperage</t>
  </si>
  <si>
    <t>motor efficiency</t>
  </si>
  <si>
    <t>power factor</t>
  </si>
  <si>
    <t>wye /delta constant</t>
  </si>
  <si>
    <t>watts / hp</t>
  </si>
  <si>
    <t>BHP @ Test Point = (1.732 * Va * Aa * E * PF) / 746</t>
  </si>
  <si>
    <t>Q =</t>
  </si>
  <si>
    <t>H =</t>
  </si>
  <si>
    <t>conversion constant</t>
  </si>
  <si>
    <t xml:space="preserve">     Bellevue WA - Moses Lake WA - Canby OR</t>
  </si>
  <si>
    <t>ID = pipe inner diameter</t>
  </si>
  <si>
    <r>
      <t>Velocity (V) = (Q * 0.4085) / ID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</si>
  <si>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V=</t>
  </si>
  <si>
    <t>flow velocity</t>
  </si>
  <si>
    <t>g =</t>
  </si>
  <si>
    <t xml:space="preserve">gravitational constant </t>
  </si>
  <si>
    <t>0.4085 conversion constant</t>
  </si>
  <si>
    <t>Additional Information</t>
  </si>
  <si>
    <t>Signatures:</t>
  </si>
  <si>
    <t>Terry Aki</t>
  </si>
  <si>
    <t>Doug Fir</t>
  </si>
  <si>
    <t>Notes</t>
  </si>
  <si>
    <t>Job Name</t>
  </si>
  <si>
    <t>Date</t>
  </si>
  <si>
    <t>Witness</t>
  </si>
  <si>
    <t>Q Measurement Method</t>
  </si>
  <si>
    <t>Specific Gravity</t>
  </si>
  <si>
    <t>⁰F</t>
  </si>
  <si>
    <t>70⁰F</t>
  </si>
  <si>
    <t>265⁰F</t>
  </si>
  <si>
    <t>Amperage - Phase a</t>
  </si>
  <si>
    <t>Amperage - Phase b</t>
  </si>
  <si>
    <t>Amperage - Phase c</t>
  </si>
  <si>
    <t>Vibration (in/sec peak to peak)</t>
  </si>
  <si>
    <t>Total Shaft HP Loss</t>
  </si>
  <si>
    <t>Calculations:</t>
  </si>
  <si>
    <t xml:space="preserve">    Q Measurement</t>
  </si>
  <si>
    <t>Field Test Instructions</t>
  </si>
  <si>
    <t>These field test templates are designed for universal usage and may require changes to meet certain test specifications.</t>
  </si>
  <si>
    <t>Shaft Losses /100 ft (HP)</t>
  </si>
  <si>
    <t>Shaft Length (ft)</t>
  </si>
  <si>
    <t>The data necessary to perform the calculations are self explanatory and the required units are shown to the left of the</t>
  </si>
  <si>
    <t>cells.  The equations used to calculate the results are shown on the right side of the spread sheet.  The test point</t>
  </si>
  <si>
    <t>Pump Eff = Hydraulic HP / BHP (less shaft losses)</t>
  </si>
  <si>
    <t>Charles Rangel</t>
  </si>
  <si>
    <t>Rod Blagojevich</t>
  </si>
  <si>
    <t>Suction Gauge Head ± (ft)</t>
  </si>
  <si>
    <r>
      <t>Velocity Head (Hv) = V</t>
    </r>
    <r>
      <rPr>
        <b/>
        <vertAlign val="superscript"/>
        <sz val="11"/>
        <color theme="1"/>
        <rFont val="Cambria"/>
        <family val="1"/>
        <scheme val="major"/>
      </rPr>
      <t>2</t>
    </r>
    <r>
      <rPr>
        <b/>
        <sz val="11"/>
        <color theme="1"/>
        <rFont val="Calibri"/>
        <family val="2"/>
        <scheme val="minor"/>
      </rPr>
      <t xml:space="preserve"> / 2g</t>
    </r>
  </si>
  <si>
    <r>
      <t>Velocity Head (Hv) = V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/ 2g</t>
    </r>
  </si>
  <si>
    <t>It is assumed that the suction and discharge gauges will be located at the centerlines.  If they are substantially above</t>
  </si>
  <si>
    <t>discharge gauge pressure in feet</t>
  </si>
  <si>
    <t>vertical distance between gauges in feet</t>
  </si>
  <si>
    <t>friction - pump discharge to discharge gauge</t>
  </si>
  <si>
    <t>velocity head at the discharge gauge</t>
  </si>
  <si>
    <t>suction gauge pressure in feet</t>
  </si>
  <si>
    <t>velocity head at the suction gauge</t>
  </si>
  <si>
    <t>0.4085 = conversion constant</t>
  </si>
  <si>
    <t>ID =          pipe inner diameter</t>
  </si>
  <si>
    <t>Hydraulic (Water) HP = (Q * H * SG) / 3960</t>
  </si>
  <si>
    <t>3960 =</t>
  </si>
  <si>
    <t>746 =</t>
  </si>
  <si>
    <t>1.732 =</t>
  </si>
  <si>
    <t>SG =</t>
  </si>
  <si>
    <t>specific gravity</t>
  </si>
  <si>
    <t>TDH</t>
  </si>
  <si>
    <t>watts / hp @ 100% eff</t>
  </si>
  <si>
    <t>or below, correct the actual gauge readings before entering the test data.  It is also assumed that the suction gauge</t>
  </si>
  <si>
    <t xml:space="preserve">will be located close to the pump suction.  If it is some distance from the suction, the friction in the piping between </t>
  </si>
  <si>
    <t>Discharge Piping ID (in)</t>
  </si>
  <si>
    <t>Gauge to Suction Friction (ft)</t>
  </si>
  <si>
    <t>TDH = (Hd + GG + Fs + Fd + Hvd - Hs - Hvs)</t>
  </si>
  <si>
    <t>Fs =</t>
  </si>
  <si>
    <t>friction - pump suction to suction gauge</t>
  </si>
  <si>
    <t>Pump Efficiency = Hydraulic HP / BHP</t>
  </si>
  <si>
    <t>Liquid Temp</t>
  </si>
  <si>
    <t>Flow Rate (GPM)</t>
  </si>
  <si>
    <t>Gauge to Gauge Elevation (ft)</t>
  </si>
  <si>
    <t>Discharge to Gauge Friction (ft)</t>
  </si>
  <si>
    <t>Hydraulic (Water) HP @ 100% Eff</t>
  </si>
  <si>
    <t>Pipe Friction Pump to Gauge (ft)</t>
  </si>
  <si>
    <t>discharge gauge pressure (ft)</t>
  </si>
  <si>
    <t xml:space="preserve">   flow velocity</t>
  </si>
  <si>
    <t xml:space="preserve">   gravitational constant </t>
  </si>
  <si>
    <t xml:space="preserve">   average voltage</t>
  </si>
  <si>
    <t xml:space="preserve">   average amperage</t>
  </si>
  <si>
    <t xml:space="preserve">   motor efficiency</t>
  </si>
  <si>
    <t xml:space="preserve">   power factor</t>
  </si>
  <si>
    <t xml:space="preserve">   Υ/Δ constant</t>
  </si>
  <si>
    <t xml:space="preserve">   watts / hp</t>
  </si>
  <si>
    <t>KW =</t>
  </si>
  <si>
    <t xml:space="preserve">   KW meter reading</t>
  </si>
  <si>
    <t>KW meter reading</t>
  </si>
  <si>
    <t xml:space="preserve">  conversion constant</t>
  </si>
  <si>
    <t xml:space="preserve">  specific gravity</t>
  </si>
  <si>
    <t xml:space="preserve">gauge and the suction should be entered in the Fs cells. </t>
  </si>
  <si>
    <t xml:space="preserve">    Liquid SG &amp; Temp</t>
  </si>
  <si>
    <t xml:space="preserve">  flow rate (gpm)</t>
  </si>
  <si>
    <t xml:space="preserve">    flow rate (gpm)</t>
  </si>
  <si>
    <t>Q =           flow rate (gpm)</t>
  </si>
  <si>
    <t>flow rate (gpm)</t>
  </si>
  <si>
    <t xml:space="preserve">  TDH</t>
  </si>
  <si>
    <t>Hydraulic HP = (Q * H * SG) / 3960</t>
  </si>
  <si>
    <t>gauge and water level in feet</t>
  </si>
  <si>
    <t>friction in column and elbow in feet</t>
  </si>
  <si>
    <t>flow rate</t>
  </si>
  <si>
    <t>kW =    kW meter reading</t>
  </si>
  <si>
    <t>SG =     specific gravity</t>
  </si>
  <si>
    <t>Voltage Unbalance</t>
  </si>
  <si>
    <t>Current Unbalance</t>
  </si>
  <si>
    <t>make all positive</t>
  </si>
  <si>
    <t>select largest deviation</t>
  </si>
  <si>
    <t>voltage deviation</t>
  </si>
  <si>
    <t>current deviation</t>
  </si>
  <si>
    <t>60⁰F</t>
  </si>
  <si>
    <t>71⁰F</t>
  </si>
  <si>
    <t>Hydromatic S6L - 1750 RPM - 11.38" Trim</t>
  </si>
  <si>
    <t xml:space="preserve">  Entered Data</t>
  </si>
  <si>
    <t xml:space="preserve">  Calculated Results</t>
  </si>
  <si>
    <t>TDH = Hd + GW + F + Hvd - Hvs</t>
  </si>
  <si>
    <t>velocity head at the pump suction</t>
  </si>
  <si>
    <t>Discharge Velocity Head</t>
  </si>
  <si>
    <t>Suction Velocity Head</t>
  </si>
  <si>
    <t>Submersible Wastewater Pump Field Test Procedure  (Discharge Gauge &amp; Flow Meter Measurement)</t>
  </si>
  <si>
    <t>Submersible Wastewater Pump Field Test Procedure  (Discharge Gauge &amp; Draw Down Measurement)</t>
  </si>
  <si>
    <t>Drawdown (1')</t>
  </si>
  <si>
    <t xml:space="preserve">Wet Well Diameter (Inches)    </t>
  </si>
  <si>
    <t xml:space="preserve">Drawdown Distance (Inches)   </t>
  </si>
  <si>
    <t xml:space="preserve">Drawdown Time (Seconds)       </t>
  </si>
  <si>
    <t xml:space="preserve">Wet Well Volume / ft (Gal)      </t>
  </si>
  <si>
    <t xml:space="preserve">Drawdown Volume (Gal)           </t>
  </si>
  <si>
    <t>Pump Head Test</t>
  </si>
  <si>
    <t>Running</t>
  </si>
  <si>
    <t>Off</t>
  </si>
  <si>
    <t>conversions</t>
  </si>
  <si>
    <t>inches to feet</t>
  </si>
  <si>
    <t>seconds to minutes</t>
  </si>
  <si>
    <t>Motor BHP @ Test Point (VA)</t>
  </si>
  <si>
    <t>Motor BHP @ Test Point (kW)</t>
  </si>
  <si>
    <t>Pump Eff @ Test Point (VA)</t>
  </si>
  <si>
    <t>Pump Eff @ Test Point (kW)</t>
  </si>
  <si>
    <t xml:space="preserve">     Bellevue WA - Moses Lake WA - Canby OR         </t>
  </si>
  <si>
    <t>Crap Creek Lift Station</t>
  </si>
  <si>
    <t>Single or Multi Point Test</t>
  </si>
  <si>
    <t>Flow Meter</t>
  </si>
  <si>
    <t>want it to be a factor, simply enter a suction diameter that lowers the velocity head calculation to nearly zero.</t>
  </si>
  <si>
    <t>Motor HP @ Test Point (VA)</t>
  </si>
  <si>
    <t>Test Point HP Less Shaft Loss (VA)</t>
  </si>
  <si>
    <t>Test Point HP Less Shaft Loss (kW)</t>
  </si>
  <si>
    <t>Motor HP @ Test Point (kW)</t>
  </si>
  <si>
    <t>M-14-MC 1770 RPM 11.56" Trim</t>
  </si>
  <si>
    <t>Submersible Wastewater (2)</t>
  </si>
  <si>
    <t>in the length of pipe from the pump discharge to the point where the gauge is mounted.  Use the flow rate calculated by the drawdown test.</t>
  </si>
  <si>
    <r>
      <rPr>
        <sz val="11"/>
        <color rgb="FF0000FF"/>
        <rFont val="Calibri"/>
        <family val="2"/>
        <scheme val="minor"/>
      </rPr>
      <t>Drawdown Test:</t>
    </r>
    <r>
      <rPr>
        <sz val="11"/>
        <color theme="1"/>
        <rFont val="Calibri"/>
        <family val="2"/>
        <scheme val="minor"/>
      </rPr>
      <t xml:space="preserve">  Turn the pumps off.  Shut off the invert valve or insert a pig when the wet well is at the pump on level.  Inflow during the</t>
    </r>
  </si>
  <si>
    <t>If you do not want suction velocity head to be a factor in the TDH calculation, enter a suction diameter that will reduce the suction velocity</t>
  </si>
  <si>
    <t>head calculation to near zero.</t>
  </si>
  <si>
    <r>
      <rPr>
        <sz val="11"/>
        <color rgb="FF0000FF"/>
        <rFont val="Calibri"/>
        <family val="2"/>
        <scheme val="minor"/>
      </rPr>
      <t xml:space="preserve">Pump TDH Test: </t>
    </r>
    <r>
      <rPr>
        <sz val="11"/>
        <color theme="1"/>
        <rFont val="Calibri"/>
        <family val="2"/>
        <scheme val="minor"/>
      </rPr>
      <t xml:space="preserve"> Make an accurate measurement of the elevation of the gauge above the pump start water level.  Calculate the friction</t>
    </r>
  </si>
  <si>
    <r>
      <rPr>
        <sz val="11"/>
        <color rgb="FF0000FF"/>
        <rFont val="Calibri"/>
        <family val="2"/>
        <scheme val="minor"/>
      </rPr>
      <t>Motor Test:</t>
    </r>
    <r>
      <rPr>
        <sz val="11"/>
        <color theme="1"/>
        <rFont val="Calibri"/>
        <family val="2"/>
        <scheme val="minor"/>
      </rPr>
      <t xml:space="preserve">  Measure the phase to phase voltage with the pump off.  If a voltage unbalance exists with the pump off, it is caused by your</t>
    </r>
  </si>
  <si>
    <t>facility or the utility.  Measure phase to phase voltage and current during the one foot draw down test (full flow).  Take the measurements</t>
  </si>
  <si>
    <t>on the pump side of the contactor.  Unbalanced voltage due to a corroded contactor will not be detected if measured on the power side.</t>
  </si>
  <si>
    <t>pump start value.  Drawdown distance can be measured with a laser, plumb bob or a measuring tape.  It is best to do two or three tests and use</t>
  </si>
  <si>
    <t>drawdown will make the results inaccurate.  The ideal drawdown distance is one foot.  A change in just one foot will keep flow very close to its</t>
  </si>
  <si>
    <t>The reason that both voltage and current unbalance are calculated is because some clamp on, amp meters are not as accurate as a volt meter.</t>
  </si>
  <si>
    <t>% current unbalance can be 6 to 10 times greater than voltage unbalance.  If voltage unbalance is 2% or more, the source must be located and</t>
  </si>
  <si>
    <t>corrected.  An exception to this rule will apply if the phase with the highest current is still under the nameplate amperage.</t>
  </si>
  <si>
    <t>Flow Meter (GPM)</t>
  </si>
  <si>
    <t>Motor or Measured PF (XX)</t>
  </si>
  <si>
    <t>Motor Efficiency (XX)</t>
  </si>
  <si>
    <r>
      <t>Pump Suction Diameter (in)</t>
    </r>
    <r>
      <rPr>
        <b/>
        <sz val="11"/>
        <color rgb="FFFF0000"/>
        <rFont val="Calibri"/>
        <family val="2"/>
        <scheme val="minor"/>
      </rPr>
      <t>**</t>
    </r>
  </si>
  <si>
    <t>If you enter the actual suction diameter into the sheet, velocity head will be calculated based upon the calculated inlet velocity.  If you do not</t>
  </si>
  <si>
    <t>industry as to whether velocity head is a factor when testing a submersible pump with a suction bell.  Personally, I do not think that it plays a role.</t>
  </si>
  <si>
    <t>**See Instructions</t>
  </si>
  <si>
    <t>The Submersible wastewater (1) tab can be used for one or multiple test points and a flow meter is used to determine flow.</t>
  </si>
  <si>
    <t>The Submersible Wastewater (2) tab is designed for a single point test to measure flow using drawdown.  See below for</t>
  </si>
  <si>
    <t>detailed instructions for measuring drawdown. Page 2 is reserved for notes, observations or test data not shown on page 1.</t>
  </si>
  <si>
    <t>They are divided into three separate installation categories - above ground pumps, submersible sewage and vertical turbines.</t>
  </si>
  <si>
    <t>The above ground pumps include end suction, double suction, wastewater and self primers.  The spread sheets provide for</t>
  </si>
  <si>
    <t>multiple tests at the same operating point or single tests at multiple operating points.  In the latter case, a test curve is generated</t>
  </si>
  <si>
    <r>
      <rPr>
        <b/>
        <sz val="11"/>
        <color rgb="FFFF0000"/>
        <rFont val="Calibri"/>
        <family val="2"/>
        <scheme val="minor"/>
      </rPr>
      <t>**</t>
    </r>
    <r>
      <rPr>
        <sz val="11"/>
        <rFont val="Calibri"/>
        <family val="2"/>
        <scheme val="minor"/>
      </rPr>
      <t>You will note that the TDH calculation for the Submersible Wastewater tabs include suction velocity head.  There is disagreement in the</t>
    </r>
  </si>
  <si>
    <r>
      <t xml:space="preserve">HP is calculated using average amperage and voltage and / or measured kW.  You can also use either or both. </t>
    </r>
    <r>
      <rPr>
        <b/>
        <sz val="11"/>
        <color rgb="FFFF0000"/>
        <rFont val="Calibri"/>
        <family val="2"/>
        <scheme val="minor"/>
      </rPr>
      <t>**</t>
    </r>
    <r>
      <rPr>
        <sz val="11"/>
        <rFont val="Calibri"/>
        <family val="2"/>
        <scheme val="minor"/>
      </rPr>
      <t>Note that the</t>
    </r>
  </si>
  <si>
    <t>BHP @ Test Point = (kW * E) / 0.746</t>
  </si>
  <si>
    <t>Flowmeter</t>
  </si>
  <si>
    <t>Maxine Waters</t>
  </si>
  <si>
    <t>Harry Reed</t>
  </si>
  <si>
    <t>tab can also be used for submersible well pumps and will also generate a test curve.</t>
  </si>
  <si>
    <t>Motor Testing</t>
  </si>
  <si>
    <t>in your facility or is a result of the incoming utility power.  Use the "motor off" section of the Submersible Wastewater (2) tab to calculate</t>
  </si>
  <si>
    <t>average voltage and % voltage unbalance.  Measure phase to phase voltage and current at each test point and enter them into the appropriate</t>
  </si>
  <si>
    <t>cells.  Take the measurements on the motor side of the contactor.  Unbalanced voltage due to a corroded contactor will not be detected</t>
  </si>
  <si>
    <t>are not as accurate as a volt meter.  % current unbalance can be 6 to 10 times greater than voltage unbalance.  If voltage unbalance is 2% or</t>
  </si>
  <si>
    <t>more, the source must be located and corrected.  An exception to this rule will apply if the phase with the highest current remains under</t>
  </si>
  <si>
    <t>on page 3 if the test points for increasing flow are entered from left to right.  A flowmeter is used to measure flow.  The Vertical Turbine</t>
  </si>
  <si>
    <t>Measure the phase to phase voltage with the pump off.  This allows you to determine if any unbalanced voltage is due to conditions</t>
  </si>
  <si>
    <t>if measured on the power side.  The reason that both voltage and current unbalance are calculated is because some clamp on amp meters</t>
  </si>
  <si>
    <t>Vertical Turbine Pump Field Test Procedure  (Discharge Gauge &amp; Flow Meter Measurement)</t>
  </si>
  <si>
    <r>
      <t>kW Meter Reading (kW)</t>
    </r>
    <r>
      <rPr>
        <b/>
        <sz val="11"/>
        <color rgb="FFFF0000"/>
        <rFont val="Calibri"/>
        <family val="2"/>
        <scheme val="minor"/>
      </rPr>
      <t>**</t>
    </r>
  </si>
  <si>
    <r>
      <t>Drawdown Flow Test</t>
    </r>
    <r>
      <rPr>
        <b/>
        <sz val="11"/>
        <color rgb="FFFF0000"/>
        <rFont val="Calibri"/>
        <family val="2"/>
        <scheme val="minor"/>
      </rPr>
      <t>**</t>
    </r>
    <r>
      <rPr>
        <b/>
        <sz val="11"/>
        <color theme="1"/>
        <rFont val="Calibri"/>
        <family val="2"/>
        <scheme val="minor"/>
      </rPr>
      <t xml:space="preserve">                   </t>
    </r>
  </si>
  <si>
    <t>Yellow Water Supply</t>
  </si>
  <si>
    <t>Over The Hill Pump Station</t>
  </si>
  <si>
    <t>This tab will also plot a test curve if multiple points are tested.  Scroll to the bottom of the sheet to view the test curves.</t>
  </si>
  <si>
    <t>Power Cost / kWhour (.00)</t>
  </si>
  <si>
    <t>Cost / 1000 Gal Pumped (VA)</t>
  </si>
  <si>
    <t>Cost / 1000 Gal Pumped (kW)</t>
  </si>
  <si>
    <t>Cost / 1000 Gal Pumped = (.189*kWH Cost*Head)/(Pump eff*Mtr eff*60)</t>
  </si>
  <si>
    <t xml:space="preserve">Inflow Time (Seconds)                </t>
  </si>
  <si>
    <t xml:space="preserve">Inflow Distance (Inches)            </t>
  </si>
  <si>
    <t xml:space="preserve">Flow Rate (GPM No Inflow)      </t>
  </si>
  <si>
    <t xml:space="preserve">Inflow Volume (Gal)                    </t>
  </si>
  <si>
    <t>the average drawdown time for the spreadsheet calculations.  Measure the drawdown time in seconds.</t>
  </si>
  <si>
    <t>drawdown test, record the time for the wetwell leve to rise some predetermined distance.  If the drawdown distance was one foot,</t>
  </si>
  <si>
    <t>four to six inches is enough distance to measure inflow.  Again several tests may be required to get a more accurate, average inflow measurement.</t>
  </si>
  <si>
    <t>If possible, perform the drawdown and inflow tests during periods of minimum inflow.</t>
  </si>
  <si>
    <r>
      <rPr>
        <sz val="11"/>
        <color rgb="FF0000FF"/>
        <rFont val="Calibri"/>
        <family val="2"/>
        <scheme val="minor"/>
      </rPr>
      <t>Inflow Test:</t>
    </r>
    <r>
      <rPr>
        <sz val="11"/>
        <color theme="1"/>
        <rFont val="Calibri"/>
        <family val="2"/>
        <scheme val="minor"/>
      </rPr>
      <t xml:space="preserve">  If the invert cannot be shut off, an inflow test is required if we are to get an accurate pump flow calculation.  At the end of the</t>
    </r>
  </si>
  <si>
    <t>HP calculation that uses the kW assumes that power factor has been accounted for in the kW measurement.  When a VFD is</t>
  </si>
  <si>
    <t>used, a standard volt / amp meter can be used to measure voltage and current on the power imput side of the VFD.</t>
  </si>
  <si>
    <t>ID =      pipe inner diameter</t>
  </si>
  <si>
    <t>Υ/Δ constant</t>
  </si>
  <si>
    <t>V=              flow velocity</t>
  </si>
  <si>
    <t xml:space="preserve">Total Flow Rate (GPM)                </t>
  </si>
  <si>
    <t>drawdown+inflow</t>
  </si>
  <si>
    <t>3 X 4 X 11 - 1750 RPM - 10.75" Trim</t>
  </si>
  <si>
    <r>
      <t>g =              gravitational constant (32 ft/sec</t>
    </r>
    <r>
      <rPr>
        <b/>
        <vertAlign val="superscript"/>
        <sz val="11"/>
        <color theme="1"/>
        <rFont val="Cambria"/>
        <family val="1"/>
        <scheme val="maj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</si>
  <si>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</rPr>
      <t>Υ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 xml:space="preserve"> constant</t>
    </r>
  </si>
  <si>
    <t>(Pump eff*Mtr eff*60)</t>
  </si>
  <si>
    <t>Cost / 1000 Gal Pumped = (.189*kWH Cost*Head)/</t>
  </si>
  <si>
    <t>the nameplate amperage.  If the motor power factor has been corrected by a capacitor bank, measure the PF with a PF  meter.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</si>
</sst>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%"/>
    <numFmt numFmtId="166" formatCode="[$-409]h:mm\ AM/PM;@"/>
    <numFmt numFmtId="167" formatCode="0.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b/>
      <vertAlign val="superscript"/>
      <sz val="11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3" fillId="0" borderId="0" xfId="0" applyFont="1"/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0" xfId="0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1" fillId="0" borderId="2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5" fontId="0" fillId="2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65" fontId="0" fillId="3" borderId="1" xfId="0" applyNumberFormat="1" applyFill="1" applyBorder="1" applyAlignment="1">
      <alignment horizontal="right"/>
    </xf>
    <xf numFmtId="18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6" fillId="0" borderId="0" xfId="0" applyFont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0" borderId="0" xfId="0" applyNumberFormat="1"/>
    <xf numFmtId="0" fontId="1" fillId="0" borderId="0" xfId="0" applyFont="1" applyFill="1" applyBorder="1"/>
    <xf numFmtId="165" fontId="0" fillId="3" borderId="1" xfId="0" applyNumberFormat="1" applyFill="1" applyBorder="1" applyAlignment="1" applyProtection="1">
      <alignment horizontal="right"/>
      <protection locked="0"/>
    </xf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 applyProtection="1">
      <alignment horizontal="right"/>
      <protection locked="0"/>
    </xf>
    <xf numFmtId="1" fontId="1" fillId="0" borderId="0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165" fontId="0" fillId="0" borderId="0" xfId="0" applyNumberFormat="1" applyFill="1" applyBorder="1" applyAlignment="1" applyProtection="1">
      <alignment horizontal="right"/>
      <protection locked="0"/>
    </xf>
    <xf numFmtId="165" fontId="0" fillId="0" borderId="0" xfId="0" applyNumberForma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1" xfId="0" applyFont="1" applyBorder="1" applyProtection="1"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horizontal="right"/>
      <protection locked="0"/>
    </xf>
    <xf numFmtId="0" fontId="1" fillId="0" borderId="3" xfId="0" applyFont="1" applyBorder="1" applyProtection="1">
      <protection locked="0"/>
    </xf>
    <xf numFmtId="0" fontId="0" fillId="4" borderId="4" xfId="0" applyFill="1" applyBorder="1" applyProtection="1"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>
      <alignment horizontal="right"/>
    </xf>
    <xf numFmtId="0" fontId="0" fillId="4" borderId="12" xfId="0" applyFill="1" applyBorder="1" applyAlignment="1">
      <alignment horizontal="right"/>
    </xf>
    <xf numFmtId="164" fontId="0" fillId="0" borderId="11" xfId="0" applyNumberFormat="1" applyFill="1" applyBorder="1" applyAlignment="1" applyProtection="1">
      <alignment horizontal="right"/>
      <protection locked="0"/>
    </xf>
    <xf numFmtId="165" fontId="0" fillId="0" borderId="12" xfId="0" applyNumberFormat="1" applyFill="1" applyBorder="1" applyAlignment="1" applyProtection="1">
      <alignment horizontal="right"/>
      <protection locked="0"/>
    </xf>
    <xf numFmtId="0" fontId="8" fillId="0" borderId="0" xfId="0" applyFont="1"/>
    <xf numFmtId="0" fontId="9" fillId="0" borderId="0" xfId="0" applyFont="1"/>
    <xf numFmtId="0" fontId="8" fillId="0" borderId="0" xfId="0" applyFont="1" applyProtection="1">
      <protection locked="0"/>
    </xf>
    <xf numFmtId="0" fontId="0" fillId="2" borderId="3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3" borderId="1" xfId="0" applyNumberFormat="1" applyFont="1" applyFill="1" applyBorder="1" applyAlignment="1">
      <alignment horizontal="right"/>
    </xf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3" borderId="1" xfId="0" applyNumberFormat="1" applyFont="1" applyFill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>
      <alignment horizontal="right"/>
    </xf>
    <xf numFmtId="164" fontId="1" fillId="3" borderId="0" xfId="0" applyNumberFormat="1" applyFont="1" applyFill="1"/>
    <xf numFmtId="167" fontId="1" fillId="3" borderId="1" xfId="0" applyNumberFormat="1" applyFont="1" applyFill="1" applyBorder="1"/>
    <xf numFmtId="0" fontId="1" fillId="2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64" fontId="1" fillId="2" borderId="2" xfId="0" applyNumberFormat="1" applyFont="1" applyFill="1" applyBorder="1" applyAlignment="1" applyProtection="1">
      <alignment horizontal="center"/>
      <protection locked="0"/>
    </xf>
    <xf numFmtId="1" fontId="10" fillId="2" borderId="0" xfId="0" applyNumberFormat="1" applyFont="1" applyFill="1" applyBorder="1" applyAlignment="1" applyProtection="1">
      <alignment horizontal="center"/>
      <protection locked="0"/>
    </xf>
    <xf numFmtId="18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1" fontId="10" fillId="0" borderId="8" xfId="0" applyNumberFormat="1" applyFont="1" applyFill="1" applyBorder="1" applyAlignment="1" applyProtection="1">
      <alignment horizontal="center"/>
      <protection locked="0"/>
    </xf>
    <xf numFmtId="1" fontId="10" fillId="0" borderId="9" xfId="0" applyNumberFormat="1" applyFont="1" applyFill="1" applyBorder="1" applyAlignment="1" applyProtection="1">
      <alignment horizontal="center"/>
      <protection locked="0"/>
    </xf>
    <xf numFmtId="1" fontId="10" fillId="0" borderId="10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1" fontId="10" fillId="0" borderId="3" xfId="0" applyNumberFormat="1" applyFont="1" applyFill="1" applyBorder="1" applyAlignment="1" applyProtection="1">
      <alignment horizontal="center"/>
      <protection locked="0"/>
    </xf>
    <xf numFmtId="1" fontId="10" fillId="0" borderId="5" xfId="0" applyNumberFormat="1" applyFont="1" applyFill="1" applyBorder="1" applyAlignment="1" applyProtection="1">
      <alignment horizontal="center"/>
      <protection locked="0"/>
    </xf>
    <xf numFmtId="1" fontId="10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1" fontId="1" fillId="0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2" fontId="1" fillId="2" borderId="0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66"/>
      <color rgb="FFFFFF99"/>
      <color rgb="FF66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smoothMarker"/>
        <c:ser>
          <c:idx val="0"/>
          <c:order val="0"/>
          <c:tx>
            <c:v>Test Curve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chemeClr val="tx1"/>
              </a:solidFill>
            </c:spPr>
          </c:marker>
          <c:dLbls>
            <c:dLblPos val="t"/>
            <c:showVal val="1"/>
            <c:showCatName val="1"/>
          </c:dLbls>
          <c:xVal>
            <c:numRef>
              <c:f>'Above Ground Pumps'!$B$15:$G$15</c:f>
              <c:numCache>
                <c:formatCode>0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xVal>
          <c:yVal>
            <c:numRef>
              <c:f>'Above Ground Pumps'!$B$27:$G$27</c:f>
              <c:numCache>
                <c:formatCode>0.0</c:formatCode>
                <c:ptCount val="6"/>
                <c:pt idx="0">
                  <c:v>117.2784403159267</c:v>
                </c:pt>
                <c:pt idx="1">
                  <c:v>117.11376126370678</c:v>
                </c:pt>
                <c:pt idx="2">
                  <c:v>115.50596284334024</c:v>
                </c:pt>
                <c:pt idx="3">
                  <c:v>111.45504505482708</c:v>
                </c:pt>
                <c:pt idx="4">
                  <c:v>104.96100789816731</c:v>
                </c:pt>
                <c:pt idx="5">
                  <c:v>94.023851373360927</c:v>
                </c:pt>
              </c:numCache>
            </c:numRef>
          </c:yVal>
          <c:smooth val="1"/>
        </c:ser>
        <c:dLbls>
          <c:showVal val="1"/>
          <c:showCatName val="1"/>
        </c:dLbls>
        <c:axId val="89961216"/>
        <c:axId val="89963136"/>
      </c:scatterChart>
      <c:valAx>
        <c:axId val="89961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GPM</a:t>
                </a:r>
              </a:p>
            </c:rich>
          </c:tx>
          <c:layout>
            <c:manualLayout>
              <c:xMode val="edge"/>
              <c:yMode val="edge"/>
              <c:x val="0.44399485908732855"/>
              <c:y val="0.93928899583467351"/>
            </c:manualLayout>
          </c:layout>
        </c:title>
        <c:numFmt formatCode="0" sourceLinked="1"/>
        <c:tickLblPos val="nextTo"/>
        <c:crossAx val="89963136"/>
        <c:crosses val="autoZero"/>
        <c:crossBetween val="midCat"/>
      </c:valAx>
      <c:valAx>
        <c:axId val="89963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Head In ft</a:t>
                </a:r>
              </a:p>
            </c:rich>
          </c:tx>
        </c:title>
        <c:numFmt formatCode="0" sourceLinked="0"/>
        <c:tickLblPos val="nextTo"/>
        <c:crossAx val="89961216"/>
        <c:crosses val="autoZero"/>
        <c:crossBetween val="midCat"/>
      </c:valAx>
    </c:plotArea>
    <c:legend>
      <c:legendPos val="r"/>
    </c:legend>
    <c:plotVisOnly val="1"/>
  </c:chart>
  <c:txPr>
    <a:bodyPr/>
    <a:lstStyle/>
    <a:p>
      <a:pPr>
        <a:defRPr b="1"/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Test Points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Test Curve</c:v>
          </c:tx>
          <c:marker>
            <c:spPr>
              <a:solidFill>
                <a:schemeClr val="tx1"/>
              </a:solidFill>
            </c:spPr>
          </c:marker>
          <c:xVal>
            <c:numRef>
              <c:f>'Submersible Wastewater (1)'!$B$15:$E$15</c:f>
              <c:numCache>
                <c:formatCode>0</c:formatCode>
                <c:ptCount val="4"/>
                <c:pt idx="0">
                  <c:v>400</c:v>
                </c:pt>
                <c:pt idx="1">
                  <c:v>800</c:v>
                </c:pt>
                <c:pt idx="2">
                  <c:v>1200</c:v>
                </c:pt>
                <c:pt idx="3">
                  <c:v>1600</c:v>
                </c:pt>
              </c:numCache>
            </c:numRef>
          </c:xVal>
          <c:yVal>
            <c:numRef>
              <c:f>'Submersible Wastewater (1)'!$B$25:$E$25</c:f>
              <c:numCache>
                <c:formatCode>0.0</c:formatCode>
                <c:ptCount val="4"/>
                <c:pt idx="0">
                  <c:v>109.59990555627445</c:v>
                </c:pt>
                <c:pt idx="1">
                  <c:v>98.499622225097767</c:v>
                </c:pt>
                <c:pt idx="2">
                  <c:v>86.399150006469981</c:v>
                </c:pt>
                <c:pt idx="3">
                  <c:v>70.798488900391064</c:v>
                </c:pt>
              </c:numCache>
            </c:numRef>
          </c:yVal>
          <c:smooth val="1"/>
        </c:ser>
        <c:dLbls>
          <c:showVal val="1"/>
          <c:showCatName val="1"/>
        </c:dLbls>
        <c:axId val="90311296"/>
        <c:axId val="90346240"/>
      </c:scatterChart>
      <c:valAx>
        <c:axId val="90311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Arial" pitchFamily="34" charset="0"/>
                    <a:cs typeface="Arial" pitchFamily="34" charset="0"/>
                  </a:defRPr>
                </a:pPr>
                <a:r>
                  <a:rPr lang="en-US" b="1">
                    <a:latin typeface="Arial" pitchFamily="34" charset="0"/>
                    <a:cs typeface="Arial" pitchFamily="34" charset="0"/>
                  </a:rPr>
                  <a:t>GPM</a:t>
                </a:r>
              </a:p>
            </c:rich>
          </c:tx>
          <c:layout>
            <c:manualLayout>
              <c:xMode val="edge"/>
              <c:yMode val="edge"/>
              <c:x val="0.44399485908732855"/>
              <c:y val="0.93928899583467351"/>
            </c:manualLayout>
          </c:layout>
        </c:title>
        <c:numFmt formatCode="0" sourceLinked="1"/>
        <c:tickLblPos val="nextTo"/>
        <c:crossAx val="90346240"/>
        <c:crosses val="autoZero"/>
        <c:crossBetween val="midCat"/>
      </c:valAx>
      <c:valAx>
        <c:axId val="90346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b="1">
                    <a:latin typeface="Arial" pitchFamily="34" charset="0"/>
                    <a:cs typeface="Arial" pitchFamily="34" charset="0"/>
                  </a:defRPr>
                </a:pPr>
                <a:r>
                  <a:rPr lang="en-US" b="1">
                    <a:latin typeface="Arial" pitchFamily="34" charset="0"/>
                    <a:cs typeface="Arial" pitchFamily="34" charset="0"/>
                  </a:rPr>
                  <a:t>Head</a:t>
                </a:r>
                <a:r>
                  <a:rPr lang="en-US" b="1" baseline="0">
                    <a:latin typeface="Arial" pitchFamily="34" charset="0"/>
                    <a:cs typeface="Arial" pitchFamily="34" charset="0"/>
                  </a:rPr>
                  <a:t> In ft</a:t>
                </a:r>
                <a:endParaRPr lang="en-US" b="1">
                  <a:latin typeface="Arial" pitchFamily="34" charset="0"/>
                  <a:cs typeface="Arial" pitchFamily="34" charset="0"/>
                </a:endParaRPr>
              </a:p>
            </c:rich>
          </c:tx>
        </c:title>
        <c:numFmt formatCode="0" sourceLinked="0"/>
        <c:tickLblPos val="nextTo"/>
        <c:crossAx val="903112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smoothMarker"/>
        <c:ser>
          <c:idx val="0"/>
          <c:order val="0"/>
          <c:tx>
            <c:v>Test Curve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chemeClr val="tx1"/>
              </a:solidFill>
            </c:spPr>
          </c:marker>
          <c:dLbls>
            <c:dLblPos val="t"/>
            <c:showVal val="1"/>
            <c:showCatName val="1"/>
          </c:dLbls>
          <c:xVal>
            <c:numRef>
              <c:f>'Vertical Turbine'!$B$17:$G$17</c:f>
              <c:numCache>
                <c:formatCode>0</c:formatCode>
                <c:ptCount val="6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</c:numCache>
            </c:numRef>
          </c:xVal>
          <c:yVal>
            <c:numRef>
              <c:f>'Vertical Turbine'!$B$24:$G$24</c:f>
              <c:numCache>
                <c:formatCode>0.0</c:formatCode>
                <c:ptCount val="6"/>
                <c:pt idx="0">
                  <c:v>373.63124016211196</c:v>
                </c:pt>
                <c:pt idx="1">
                  <c:v>368.77029036475182</c:v>
                </c:pt>
                <c:pt idx="2">
                  <c:v>361.02496064844769</c:v>
                </c:pt>
                <c:pt idx="3">
                  <c:v>343.19525101319948</c:v>
                </c:pt>
                <c:pt idx="4">
                  <c:v>314.4811614590073</c:v>
                </c:pt>
                <c:pt idx="5">
                  <c:v>277.68269198587103</c:v>
                </c:pt>
              </c:numCache>
            </c:numRef>
          </c:yVal>
          <c:smooth val="1"/>
        </c:ser>
        <c:dLbls>
          <c:showVal val="1"/>
          <c:showCatName val="1"/>
        </c:dLbls>
        <c:axId val="90667648"/>
        <c:axId val="90682112"/>
      </c:scatterChart>
      <c:valAx>
        <c:axId val="90667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1"/>
                  <a:t>GPM</a:t>
                </a:r>
              </a:p>
            </c:rich>
          </c:tx>
          <c:layout>
            <c:manualLayout>
              <c:xMode val="edge"/>
              <c:yMode val="edge"/>
              <c:x val="0.4245537862163653"/>
              <c:y val="0.93122036910740458"/>
            </c:manualLayout>
          </c:layout>
        </c:title>
        <c:numFmt formatCode="0" sourceLinked="1"/>
        <c:tickLblPos val="nextTo"/>
        <c:crossAx val="90682112"/>
        <c:crosses val="autoZero"/>
        <c:crossBetween val="midCat"/>
      </c:valAx>
      <c:valAx>
        <c:axId val="90682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Head</a:t>
                </a:r>
                <a:r>
                  <a:rPr lang="en-US" baseline="0"/>
                  <a:t> In ft</a:t>
                </a:r>
                <a:endParaRPr lang="en-US"/>
              </a:p>
            </c:rich>
          </c:tx>
        </c:title>
        <c:numFmt formatCode="0" sourceLinked="0"/>
        <c:tickLblPos val="nextTo"/>
        <c:crossAx val="906676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46</xdr:row>
      <xdr:rowOff>155096</xdr:rowOff>
    </xdr:from>
    <xdr:to>
      <xdr:col>11</xdr:col>
      <xdr:colOff>495300</xdr:colOff>
      <xdr:row>65</xdr:row>
      <xdr:rowOff>66675</xdr:rowOff>
    </xdr:to>
    <xdr:pic>
      <xdr:nvPicPr>
        <xdr:cNvPr id="2" name="Picture 1" descr="PT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6" y="9080021"/>
          <a:ext cx="1485899" cy="454504"/>
        </a:xfrm>
        <a:prstGeom prst="rect">
          <a:avLst/>
        </a:prstGeom>
      </xdr:spPr>
    </xdr:pic>
    <xdr:clientData/>
  </xdr:twoCellAnchor>
  <xdr:twoCellAnchor>
    <xdr:from>
      <xdr:col>5</xdr:col>
      <xdr:colOff>590550</xdr:colOff>
      <xdr:row>110</xdr:row>
      <xdr:rowOff>171450</xdr:rowOff>
    </xdr:from>
    <xdr:to>
      <xdr:col>11</xdr:col>
      <xdr:colOff>228600</xdr:colOff>
      <xdr:row>110</xdr:row>
      <xdr:rowOff>171450</xdr:rowOff>
    </xdr:to>
    <xdr:cxnSp macro="">
      <xdr:nvCxnSpPr>
        <xdr:cNvPr id="5" name="Straight Connector 4"/>
        <xdr:cNvCxnSpPr/>
      </xdr:nvCxnSpPr>
      <xdr:spPr>
        <a:xfrm>
          <a:off x="5762625" y="16983075"/>
          <a:ext cx="3181350" cy="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1114425</xdr:colOff>
      <xdr:row>117</xdr:row>
      <xdr:rowOff>171449</xdr:rowOff>
    </xdr:from>
    <xdr:to>
      <xdr:col>10</xdr:col>
      <xdr:colOff>542925</xdr:colOff>
      <xdr:row>150</xdr:row>
      <xdr:rowOff>180974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1609725</xdr:colOff>
      <xdr:row>110</xdr:row>
      <xdr:rowOff>171450</xdr:rowOff>
    </xdr:from>
    <xdr:to>
      <xdr:col>4</xdr:col>
      <xdr:colOff>400050</xdr:colOff>
      <xdr:row>110</xdr:row>
      <xdr:rowOff>171450</xdr:rowOff>
    </xdr:to>
    <xdr:cxnSp macro="">
      <xdr:nvCxnSpPr>
        <xdr:cNvPr id="8" name="Straight Connector 7"/>
        <xdr:cNvCxnSpPr/>
      </xdr:nvCxnSpPr>
      <xdr:spPr>
        <a:xfrm>
          <a:off x="1609725" y="16983075"/>
          <a:ext cx="3181350" cy="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115</xdr:row>
      <xdr:rowOff>171450</xdr:rowOff>
    </xdr:from>
    <xdr:to>
      <xdr:col>3</xdr:col>
      <xdr:colOff>504825</xdr:colOff>
      <xdr:row>115</xdr:row>
      <xdr:rowOff>171450</xdr:rowOff>
    </xdr:to>
    <xdr:cxnSp macro="">
      <xdr:nvCxnSpPr>
        <xdr:cNvPr id="4" name="Straight Connector 3"/>
        <xdr:cNvCxnSpPr/>
      </xdr:nvCxnSpPr>
      <xdr:spPr>
        <a:xfrm>
          <a:off x="2047875" y="16983075"/>
          <a:ext cx="3000375" cy="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115</xdr:row>
      <xdr:rowOff>171450</xdr:rowOff>
    </xdr:from>
    <xdr:to>
      <xdr:col>9</xdr:col>
      <xdr:colOff>57150</xdr:colOff>
      <xdr:row>115</xdr:row>
      <xdr:rowOff>171450</xdr:rowOff>
    </xdr:to>
    <xdr:cxnSp macro="">
      <xdr:nvCxnSpPr>
        <xdr:cNvPr id="5" name="Straight Connector 4"/>
        <xdr:cNvCxnSpPr/>
      </xdr:nvCxnSpPr>
      <xdr:spPr>
        <a:xfrm>
          <a:off x="6076950" y="16983075"/>
          <a:ext cx="3000375" cy="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125</xdr:row>
      <xdr:rowOff>0</xdr:rowOff>
    </xdr:from>
    <xdr:to>
      <xdr:col>9</xdr:col>
      <xdr:colOff>561975</xdr:colOff>
      <xdr:row>158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19050</xdr:colOff>
      <xdr:row>46</xdr:row>
      <xdr:rowOff>85725</xdr:rowOff>
    </xdr:from>
    <xdr:to>
      <xdr:col>9</xdr:col>
      <xdr:colOff>514349</xdr:colOff>
      <xdr:row>64</xdr:row>
      <xdr:rowOff>161925</xdr:rowOff>
    </xdr:to>
    <xdr:pic>
      <xdr:nvPicPr>
        <xdr:cNvPr id="6" name="Picture 5" descr="PT 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48625" y="8982075"/>
          <a:ext cx="1485899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115</xdr:row>
      <xdr:rowOff>171450</xdr:rowOff>
    </xdr:from>
    <xdr:to>
      <xdr:col>3</xdr:col>
      <xdr:colOff>504825</xdr:colOff>
      <xdr:row>115</xdr:row>
      <xdr:rowOff>171450</xdr:rowOff>
    </xdr:to>
    <xdr:cxnSp macro="">
      <xdr:nvCxnSpPr>
        <xdr:cNvPr id="2" name="Straight Connector 1"/>
        <xdr:cNvCxnSpPr/>
      </xdr:nvCxnSpPr>
      <xdr:spPr>
        <a:xfrm>
          <a:off x="2047875" y="18888075"/>
          <a:ext cx="3000375" cy="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115</xdr:row>
      <xdr:rowOff>171450</xdr:rowOff>
    </xdr:from>
    <xdr:to>
      <xdr:col>10</xdr:col>
      <xdr:colOff>57150</xdr:colOff>
      <xdr:row>115</xdr:row>
      <xdr:rowOff>171450</xdr:rowOff>
    </xdr:to>
    <xdr:cxnSp macro="">
      <xdr:nvCxnSpPr>
        <xdr:cNvPr id="3" name="Straight Connector 2"/>
        <xdr:cNvCxnSpPr/>
      </xdr:nvCxnSpPr>
      <xdr:spPr>
        <a:xfrm>
          <a:off x="6076950" y="18888075"/>
          <a:ext cx="3000375" cy="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28575</xdr:colOff>
      <xdr:row>46</xdr:row>
      <xdr:rowOff>104775</xdr:rowOff>
    </xdr:from>
    <xdr:to>
      <xdr:col>10</xdr:col>
      <xdr:colOff>523874</xdr:colOff>
      <xdr:row>64</xdr:row>
      <xdr:rowOff>180975</xdr:rowOff>
    </xdr:to>
    <xdr:pic>
      <xdr:nvPicPr>
        <xdr:cNvPr id="5" name="Picture 4" descr="PT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58150" y="8972550"/>
          <a:ext cx="1485899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114</xdr:row>
      <xdr:rowOff>171450</xdr:rowOff>
    </xdr:from>
    <xdr:to>
      <xdr:col>11</xdr:col>
      <xdr:colOff>285750</xdr:colOff>
      <xdr:row>114</xdr:row>
      <xdr:rowOff>171450</xdr:rowOff>
    </xdr:to>
    <xdr:cxnSp macro="">
      <xdr:nvCxnSpPr>
        <xdr:cNvPr id="4" name="Straight Connector 3"/>
        <xdr:cNvCxnSpPr/>
      </xdr:nvCxnSpPr>
      <xdr:spPr>
        <a:xfrm>
          <a:off x="5810250" y="17554575"/>
          <a:ext cx="3190875" cy="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123</xdr:row>
      <xdr:rowOff>0</xdr:rowOff>
    </xdr:from>
    <xdr:to>
      <xdr:col>10</xdr:col>
      <xdr:colOff>28575</xdr:colOff>
      <xdr:row>148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1666875</xdr:colOff>
      <xdr:row>114</xdr:row>
      <xdr:rowOff>171450</xdr:rowOff>
    </xdr:from>
    <xdr:to>
      <xdr:col>4</xdr:col>
      <xdr:colOff>466725</xdr:colOff>
      <xdr:row>114</xdr:row>
      <xdr:rowOff>171450</xdr:rowOff>
    </xdr:to>
    <xdr:cxnSp macro="">
      <xdr:nvCxnSpPr>
        <xdr:cNvPr id="7" name="Straight Connector 6"/>
        <xdr:cNvCxnSpPr/>
      </xdr:nvCxnSpPr>
      <xdr:spPr>
        <a:xfrm>
          <a:off x="1666875" y="17554575"/>
          <a:ext cx="3190875" cy="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533400</xdr:colOff>
      <xdr:row>49</xdr:row>
      <xdr:rowOff>171450</xdr:rowOff>
    </xdr:from>
    <xdr:to>
      <xdr:col>11</xdr:col>
      <xdr:colOff>419099</xdr:colOff>
      <xdr:row>52</xdr:row>
      <xdr:rowOff>62008</xdr:rowOff>
    </xdr:to>
    <xdr:pic>
      <xdr:nvPicPr>
        <xdr:cNvPr id="6" name="Picture 5" descr="PT 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48575" y="9639300"/>
          <a:ext cx="1485899" cy="462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"/>
  <sheetViews>
    <sheetView showGridLines="0" tabSelected="1" zoomScaleNormal="100" workbookViewId="0">
      <selection activeCell="L47" sqref="L47"/>
    </sheetView>
  </sheetViews>
  <sheetFormatPr defaultRowHeight="15"/>
  <cols>
    <col min="1" max="1" width="30.7109375" customWidth="1"/>
    <col min="2" max="7" width="11.7109375" customWidth="1"/>
    <col min="8" max="8" width="5.7109375" customWidth="1"/>
    <col min="10" max="10" width="5.7109375" customWidth="1"/>
  </cols>
  <sheetData>
    <row r="1" spans="1:14" ht="23.25">
      <c r="A1" s="2" t="s">
        <v>22</v>
      </c>
    </row>
    <row r="2" spans="1:14" ht="15" customHeight="1">
      <c r="A2" s="2"/>
      <c r="K2" s="17"/>
      <c r="L2" s="17"/>
      <c r="M2" s="17"/>
    </row>
    <row r="3" spans="1:14" ht="15" customHeight="1">
      <c r="A3" s="1" t="s">
        <v>48</v>
      </c>
      <c r="B3" s="74" t="s">
        <v>281</v>
      </c>
      <c r="C3" s="75"/>
      <c r="D3" s="75"/>
      <c r="E3" s="75"/>
      <c r="F3" s="75"/>
      <c r="G3" s="76"/>
      <c r="I3" s="3"/>
      <c r="J3" s="1" t="s">
        <v>8</v>
      </c>
      <c r="L3" s="4"/>
      <c r="M3" s="1" t="s">
        <v>9</v>
      </c>
    </row>
    <row r="4" spans="1:14">
      <c r="A4" s="1" t="s">
        <v>84</v>
      </c>
      <c r="B4" s="74" t="s">
        <v>258</v>
      </c>
      <c r="C4" s="75"/>
      <c r="D4" s="75"/>
      <c r="E4" s="77"/>
      <c r="F4" s="77"/>
      <c r="G4" s="78"/>
      <c r="I4" s="5" t="s">
        <v>46</v>
      </c>
      <c r="J4" s="5" t="s">
        <v>56</v>
      </c>
    </row>
    <row r="5" spans="1:14">
      <c r="A5" s="1" t="s">
        <v>85</v>
      </c>
      <c r="B5" s="79">
        <v>41499</v>
      </c>
      <c r="C5" s="55" t="s">
        <v>86</v>
      </c>
      <c r="D5" s="80"/>
      <c r="E5" s="74" t="s">
        <v>243</v>
      </c>
      <c r="F5" s="75"/>
      <c r="G5" s="76"/>
      <c r="I5" s="5"/>
    </row>
    <row r="6" spans="1:14">
      <c r="A6" s="1" t="s">
        <v>0</v>
      </c>
      <c r="B6" s="81">
        <v>6666</v>
      </c>
      <c r="C6" s="55" t="s">
        <v>88</v>
      </c>
      <c r="D6" s="82"/>
      <c r="E6" s="83">
        <v>1</v>
      </c>
      <c r="F6" s="22" t="s">
        <v>136</v>
      </c>
      <c r="G6" s="84" t="s">
        <v>175</v>
      </c>
      <c r="I6" s="5" t="s">
        <v>97</v>
      </c>
    </row>
    <row r="7" spans="1:14">
      <c r="A7" s="1" t="s">
        <v>1</v>
      </c>
      <c r="B7" s="81">
        <v>666666</v>
      </c>
      <c r="C7" s="55" t="s">
        <v>87</v>
      </c>
      <c r="D7" s="80"/>
      <c r="E7" s="74" t="s">
        <v>242</v>
      </c>
      <c r="F7" s="75"/>
      <c r="G7" s="76"/>
      <c r="I7" s="1" t="s">
        <v>132</v>
      </c>
    </row>
    <row r="8" spans="1:14">
      <c r="A8" s="1" t="s">
        <v>2</v>
      </c>
      <c r="B8" s="85">
        <v>0.5</v>
      </c>
      <c r="C8" s="85"/>
      <c r="D8" s="85"/>
      <c r="E8" s="85"/>
      <c r="F8" s="85"/>
      <c r="G8" s="85"/>
      <c r="I8" s="1" t="s">
        <v>30</v>
      </c>
      <c r="J8" s="1" t="s">
        <v>112</v>
      </c>
      <c r="K8" s="1"/>
      <c r="L8" s="1"/>
      <c r="M8" s="1"/>
      <c r="N8" s="1"/>
    </row>
    <row r="9" spans="1:14">
      <c r="A9" s="1" t="s">
        <v>24</v>
      </c>
      <c r="B9" s="84" t="s">
        <v>90</v>
      </c>
      <c r="C9" s="84" t="s">
        <v>89</v>
      </c>
      <c r="D9" s="84" t="s">
        <v>89</v>
      </c>
      <c r="E9" s="84" t="s">
        <v>89</v>
      </c>
      <c r="F9" s="84" t="s">
        <v>89</v>
      </c>
      <c r="G9" s="84" t="s">
        <v>89</v>
      </c>
      <c r="I9" s="1" t="s">
        <v>31</v>
      </c>
      <c r="J9" s="1" t="s">
        <v>113</v>
      </c>
      <c r="K9" s="1"/>
      <c r="L9" s="1"/>
      <c r="M9" s="1"/>
      <c r="N9" s="1"/>
    </row>
    <row r="10" spans="1:14">
      <c r="A10" s="1" t="s">
        <v>25</v>
      </c>
      <c r="B10" s="84" t="s">
        <v>91</v>
      </c>
      <c r="C10" s="84" t="s">
        <v>89</v>
      </c>
      <c r="D10" s="84" t="s">
        <v>89</v>
      </c>
      <c r="E10" s="84" t="s">
        <v>89</v>
      </c>
      <c r="F10" s="84" t="s">
        <v>89</v>
      </c>
      <c r="G10" s="84" t="s">
        <v>89</v>
      </c>
      <c r="I10" s="1" t="s">
        <v>133</v>
      </c>
      <c r="J10" s="1" t="s">
        <v>134</v>
      </c>
      <c r="K10" s="1"/>
      <c r="L10" s="1"/>
      <c r="M10" s="1"/>
      <c r="N10" s="1"/>
    </row>
    <row r="11" spans="1:14">
      <c r="A11" s="1" t="s">
        <v>95</v>
      </c>
      <c r="B11" s="86"/>
      <c r="C11" s="87"/>
      <c r="D11" s="87"/>
      <c r="E11" s="87"/>
      <c r="F11" s="87"/>
      <c r="G11" s="87"/>
      <c r="I11" s="1" t="s">
        <v>32</v>
      </c>
      <c r="J11" s="1" t="s">
        <v>114</v>
      </c>
      <c r="K11" s="1"/>
      <c r="L11" s="1"/>
      <c r="M11" s="1"/>
      <c r="N11" s="1"/>
    </row>
    <row r="12" spans="1:14">
      <c r="A12" s="1"/>
      <c r="B12" s="9"/>
      <c r="C12" s="9"/>
      <c r="D12" s="9"/>
      <c r="E12" s="9"/>
      <c r="F12" s="9"/>
      <c r="G12" s="9"/>
      <c r="I12" s="1" t="s">
        <v>27</v>
      </c>
      <c r="J12" s="1" t="s">
        <v>115</v>
      </c>
      <c r="K12" s="1"/>
      <c r="L12" s="1"/>
      <c r="M12" s="1"/>
      <c r="N12" s="1"/>
    </row>
    <row r="13" spans="1:14">
      <c r="A13" s="1" t="s">
        <v>3</v>
      </c>
      <c r="B13" s="11" t="s">
        <v>204</v>
      </c>
      <c r="C13" s="9"/>
      <c r="D13" s="9"/>
      <c r="E13" s="64" t="s">
        <v>232</v>
      </c>
      <c r="F13" s="9"/>
      <c r="G13" s="9"/>
      <c r="I13" s="1" t="s">
        <v>29</v>
      </c>
      <c r="J13" s="1" t="s">
        <v>116</v>
      </c>
      <c r="K13" s="1"/>
      <c r="L13" s="1"/>
      <c r="M13" s="1"/>
      <c r="N13" s="1"/>
    </row>
    <row r="14" spans="1:14" ht="15" customHeight="1">
      <c r="A14" s="1"/>
      <c r="B14" s="9"/>
      <c r="C14" s="9"/>
      <c r="D14" s="9"/>
      <c r="E14" s="9"/>
      <c r="F14" s="9"/>
      <c r="G14" s="9"/>
      <c r="I14" s="1" t="s">
        <v>33</v>
      </c>
      <c r="J14" s="1" t="s">
        <v>117</v>
      </c>
      <c r="K14" s="1"/>
      <c r="L14" s="1"/>
      <c r="M14" s="1"/>
      <c r="N14" s="1"/>
    </row>
    <row r="15" spans="1:14">
      <c r="A15" s="1" t="s">
        <v>137</v>
      </c>
      <c r="B15" s="71">
        <v>100</v>
      </c>
      <c r="C15" s="71">
        <v>200</v>
      </c>
      <c r="D15" s="71">
        <v>300</v>
      </c>
      <c r="E15" s="71">
        <v>400</v>
      </c>
      <c r="F15" s="71">
        <v>500</v>
      </c>
      <c r="G15" s="71">
        <v>600</v>
      </c>
    </row>
    <row r="16" spans="1:14" ht="15" customHeight="1">
      <c r="A16" s="1" t="s">
        <v>108</v>
      </c>
      <c r="B16" s="72">
        <v>2</v>
      </c>
      <c r="C16" s="72">
        <v>2</v>
      </c>
      <c r="D16" s="72">
        <v>2</v>
      </c>
      <c r="E16" s="72">
        <v>2</v>
      </c>
      <c r="F16" s="72">
        <v>2</v>
      </c>
      <c r="G16" s="72">
        <v>2</v>
      </c>
      <c r="I16" s="1" t="s">
        <v>73</v>
      </c>
    </row>
    <row r="17" spans="1:14" ht="15" customHeight="1">
      <c r="A17" s="1" t="s">
        <v>131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I17" s="1" t="s">
        <v>160</v>
      </c>
      <c r="J17" s="1"/>
      <c r="K17" s="1"/>
      <c r="L17" s="1"/>
    </row>
    <row r="18" spans="1:14">
      <c r="A18" s="1" t="s">
        <v>14</v>
      </c>
      <c r="B18" s="72">
        <v>5</v>
      </c>
      <c r="C18" s="72">
        <v>5</v>
      </c>
      <c r="D18" s="72">
        <v>5</v>
      </c>
      <c r="E18" s="72">
        <v>5</v>
      </c>
      <c r="F18" s="72">
        <v>5</v>
      </c>
      <c r="G18" s="72">
        <v>5</v>
      </c>
      <c r="I18" s="1" t="s">
        <v>119</v>
      </c>
      <c r="J18" s="1"/>
      <c r="K18" s="1"/>
      <c r="L18" s="1"/>
    </row>
    <row r="19" spans="1:14">
      <c r="A19" s="1" t="s">
        <v>11</v>
      </c>
      <c r="B19" s="72">
        <v>117</v>
      </c>
      <c r="C19" s="72">
        <v>116</v>
      </c>
      <c r="D19" s="72">
        <v>113</v>
      </c>
      <c r="E19" s="72">
        <v>107</v>
      </c>
      <c r="F19" s="72">
        <v>98</v>
      </c>
      <c r="G19" s="72">
        <v>84</v>
      </c>
      <c r="I19" s="1" t="s">
        <v>118</v>
      </c>
      <c r="J19" s="1"/>
      <c r="K19" s="1"/>
      <c r="L19" s="1"/>
    </row>
    <row r="20" spans="1:14" ht="15" customHeight="1">
      <c r="A20" s="1" t="s">
        <v>138</v>
      </c>
      <c r="B20" s="72">
        <v>2</v>
      </c>
      <c r="C20" s="72">
        <v>2</v>
      </c>
      <c r="D20" s="72">
        <v>2</v>
      </c>
      <c r="E20" s="72">
        <v>2</v>
      </c>
      <c r="F20" s="72">
        <v>2</v>
      </c>
      <c r="G20" s="72">
        <v>2</v>
      </c>
    </row>
    <row r="21" spans="1:14" ht="17.25">
      <c r="A21" s="1" t="s">
        <v>139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I21" s="1" t="s">
        <v>109</v>
      </c>
      <c r="J21" s="1"/>
      <c r="K21" s="1"/>
      <c r="L21" s="1"/>
      <c r="M21" s="1"/>
      <c r="N21" s="1"/>
    </row>
    <row r="22" spans="1:14">
      <c r="A22" s="1" t="s">
        <v>130</v>
      </c>
      <c r="B22" s="72">
        <v>3</v>
      </c>
      <c r="C22" s="72">
        <v>3</v>
      </c>
      <c r="D22" s="72">
        <v>3</v>
      </c>
      <c r="E22" s="72">
        <v>3</v>
      </c>
      <c r="F22" s="72">
        <v>3</v>
      </c>
      <c r="G22" s="72">
        <v>3</v>
      </c>
      <c r="I22" s="1" t="s">
        <v>278</v>
      </c>
      <c r="J22" s="1"/>
      <c r="K22" s="1"/>
      <c r="L22" s="1"/>
      <c r="M22" s="1"/>
      <c r="N22" s="1"/>
    </row>
    <row r="23" spans="1:14" ht="17.25">
      <c r="A23" s="1" t="s">
        <v>15</v>
      </c>
      <c r="B23" s="73">
        <f t="shared" ref="B23:G23" si="0">(B15*0.4085)/(B18*B18)</f>
        <v>1.6339999999999997</v>
      </c>
      <c r="C23" s="73">
        <f t="shared" si="0"/>
        <v>3.2679999999999993</v>
      </c>
      <c r="D23" s="73">
        <f t="shared" si="0"/>
        <v>4.9020000000000001</v>
      </c>
      <c r="E23" s="73">
        <f t="shared" si="0"/>
        <v>6.5359999999999987</v>
      </c>
      <c r="F23" s="73">
        <f t="shared" si="0"/>
        <v>8.17</v>
      </c>
      <c r="G23" s="73">
        <f t="shared" si="0"/>
        <v>9.8040000000000003</v>
      </c>
      <c r="I23" s="1" t="s">
        <v>282</v>
      </c>
      <c r="J23" s="1"/>
      <c r="K23" s="1"/>
      <c r="L23" s="1"/>
      <c r="M23" s="1"/>
      <c r="N23" s="1"/>
    </row>
    <row r="24" spans="1:14">
      <c r="A24" s="1" t="s">
        <v>16</v>
      </c>
      <c r="B24" s="73">
        <f>(B23*B23)/64.4</f>
        <v>4.1458944099378864E-2</v>
      </c>
      <c r="C24" s="73">
        <f t="shared" ref="C24:G24" si="1">(C23*C23)/64.4</f>
        <v>0.16583577639751546</v>
      </c>
      <c r="D24" s="73">
        <f t="shared" si="1"/>
        <v>0.37313049689440997</v>
      </c>
      <c r="E24" s="73">
        <f t="shared" si="1"/>
        <v>0.66334310559006182</v>
      </c>
      <c r="F24" s="73">
        <f t="shared" si="1"/>
        <v>1.0364736024844718</v>
      </c>
      <c r="G24" s="73">
        <f t="shared" si="1"/>
        <v>1.4925219875776399</v>
      </c>
      <c r="I24" s="1"/>
      <c r="J24" s="1"/>
      <c r="K24" s="1"/>
      <c r="L24" s="1"/>
      <c r="M24" s="1"/>
      <c r="N24" s="1"/>
    </row>
    <row r="25" spans="1:14">
      <c r="A25" s="1" t="s">
        <v>12</v>
      </c>
      <c r="B25" s="73">
        <f t="shared" ref="B25:G25" si="2">(B15*0.4085)/(B22*B22)</f>
        <v>4.5388888888888879</v>
      </c>
      <c r="C25" s="73">
        <f t="shared" si="2"/>
        <v>9.0777777777777757</v>
      </c>
      <c r="D25" s="73">
        <f t="shared" si="2"/>
        <v>13.616666666666667</v>
      </c>
      <c r="E25" s="73">
        <f t="shared" si="2"/>
        <v>18.155555555555551</v>
      </c>
      <c r="F25" s="73">
        <f t="shared" si="2"/>
        <v>22.694444444444443</v>
      </c>
      <c r="G25" s="73">
        <f t="shared" si="2"/>
        <v>27.233333333333334</v>
      </c>
      <c r="I25" s="1" t="s">
        <v>67</v>
      </c>
      <c r="J25" s="1"/>
      <c r="K25" s="1"/>
      <c r="L25" s="1"/>
      <c r="M25" s="1"/>
      <c r="N25" s="1"/>
    </row>
    <row r="26" spans="1:14">
      <c r="A26" s="1" t="s">
        <v>17</v>
      </c>
      <c r="B26" s="73">
        <f>(B25*B25)/64.4</f>
        <v>0.31989926002607144</v>
      </c>
      <c r="C26" s="73">
        <f t="shared" ref="C26:G26" si="3">(C25*C25)/64.4</f>
        <v>1.2795970401042858</v>
      </c>
      <c r="D26" s="73">
        <f t="shared" si="3"/>
        <v>2.8790933402346446</v>
      </c>
      <c r="E26" s="73">
        <f t="shared" si="3"/>
        <v>5.1183881604171431</v>
      </c>
      <c r="F26" s="73">
        <f t="shared" si="3"/>
        <v>7.9974815006517899</v>
      </c>
      <c r="G26" s="73">
        <f t="shared" si="3"/>
        <v>11.516373360938578</v>
      </c>
      <c r="I26" s="1" t="s">
        <v>241</v>
      </c>
      <c r="J26" s="1"/>
      <c r="K26" s="1"/>
      <c r="L26" s="1"/>
      <c r="M26" s="1"/>
      <c r="N26" s="1"/>
    </row>
    <row r="27" spans="1:14">
      <c r="A27" s="1" t="s">
        <v>4</v>
      </c>
      <c r="B27" s="73">
        <f>B17+B19+B20+B21+B26-B16-B24</f>
        <v>117.2784403159267</v>
      </c>
      <c r="C27" s="73">
        <f t="shared" ref="C27:G27" si="4">C17+C19+C20+C21+C26-C16-C24</f>
        <v>117.11376126370678</v>
      </c>
      <c r="D27" s="73">
        <f t="shared" si="4"/>
        <v>115.50596284334024</v>
      </c>
      <c r="E27" s="73">
        <f t="shared" si="4"/>
        <v>111.45504505482708</v>
      </c>
      <c r="F27" s="73">
        <f t="shared" si="4"/>
        <v>104.96100789816731</v>
      </c>
      <c r="G27" s="73">
        <f t="shared" si="4"/>
        <v>94.023851373360927</v>
      </c>
      <c r="I27" s="1" t="s">
        <v>57</v>
      </c>
      <c r="J27" s="1" t="s">
        <v>61</v>
      </c>
      <c r="K27" s="1"/>
      <c r="L27" s="1"/>
      <c r="M27" s="1"/>
      <c r="N27" s="1"/>
    </row>
    <row r="28" spans="1:14">
      <c r="A28" s="1"/>
      <c r="I28" s="1" t="s">
        <v>58</v>
      </c>
      <c r="J28" s="1" t="s">
        <v>62</v>
      </c>
      <c r="K28" s="1"/>
      <c r="L28" s="1"/>
      <c r="M28" s="1"/>
      <c r="N28" s="1"/>
    </row>
    <row r="29" spans="1:14">
      <c r="A29" s="1" t="s">
        <v>49</v>
      </c>
      <c r="I29" s="1" t="s">
        <v>59</v>
      </c>
      <c r="J29" s="1" t="s">
        <v>63</v>
      </c>
      <c r="K29" s="1"/>
      <c r="L29" s="1"/>
      <c r="M29" s="1"/>
      <c r="N29" s="1"/>
    </row>
    <row r="30" spans="1:14">
      <c r="A30" s="1"/>
      <c r="I30" s="1" t="s">
        <v>60</v>
      </c>
      <c r="J30" s="1" t="s">
        <v>64</v>
      </c>
      <c r="K30" s="1"/>
      <c r="L30" s="1"/>
      <c r="M30" s="1"/>
      <c r="N30" s="1"/>
    </row>
    <row r="31" spans="1:14">
      <c r="A31" s="1" t="s">
        <v>50</v>
      </c>
      <c r="B31" s="88">
        <v>460</v>
      </c>
      <c r="C31" s="88">
        <v>460</v>
      </c>
      <c r="D31" s="88">
        <v>460</v>
      </c>
      <c r="E31" s="88">
        <v>460</v>
      </c>
      <c r="F31" s="88">
        <v>460</v>
      </c>
      <c r="G31" s="88">
        <v>460</v>
      </c>
      <c r="I31" s="70" t="s">
        <v>123</v>
      </c>
      <c r="J31" s="1" t="s">
        <v>283</v>
      </c>
      <c r="K31" s="1"/>
      <c r="L31" s="1"/>
      <c r="M31" s="1"/>
      <c r="N31" s="1"/>
    </row>
    <row r="32" spans="1:14">
      <c r="A32" s="1" t="s">
        <v>51</v>
      </c>
      <c r="B32" s="88">
        <v>460</v>
      </c>
      <c r="C32" s="88">
        <v>460</v>
      </c>
      <c r="D32" s="88">
        <v>460</v>
      </c>
      <c r="E32" s="88">
        <v>460</v>
      </c>
      <c r="F32" s="88">
        <v>460</v>
      </c>
      <c r="G32" s="88">
        <v>460</v>
      </c>
      <c r="I32" s="70" t="s">
        <v>122</v>
      </c>
      <c r="J32" s="1" t="s">
        <v>127</v>
      </c>
      <c r="K32" s="1"/>
      <c r="L32" s="1"/>
      <c r="M32" s="1"/>
      <c r="N32" s="1"/>
    </row>
    <row r="33" spans="1:14">
      <c r="A33" s="1" t="s">
        <v>55</v>
      </c>
      <c r="B33" s="88">
        <v>460</v>
      </c>
      <c r="C33" s="88">
        <v>460</v>
      </c>
      <c r="D33" s="88">
        <v>460</v>
      </c>
      <c r="E33" s="88">
        <v>460</v>
      </c>
      <c r="F33" s="88">
        <v>460</v>
      </c>
      <c r="G33" s="88">
        <v>460</v>
      </c>
      <c r="I33" s="1" t="s">
        <v>151</v>
      </c>
      <c r="J33" s="1" t="s">
        <v>153</v>
      </c>
      <c r="K33" s="1"/>
      <c r="L33" s="1"/>
      <c r="M33" s="1"/>
      <c r="N33" s="1"/>
    </row>
    <row r="34" spans="1:14">
      <c r="A34" s="1" t="s">
        <v>92</v>
      </c>
      <c r="B34" s="88">
        <v>12</v>
      </c>
      <c r="C34" s="88">
        <v>14</v>
      </c>
      <c r="D34" s="88">
        <v>16.5</v>
      </c>
      <c r="E34" s="88">
        <v>19</v>
      </c>
      <c r="F34" s="88">
        <v>21.5</v>
      </c>
      <c r="G34" s="88">
        <v>24</v>
      </c>
      <c r="I34" s="1"/>
      <c r="J34" s="1"/>
      <c r="K34" s="1"/>
      <c r="L34" s="1"/>
      <c r="M34" s="1"/>
      <c r="N34" s="1"/>
    </row>
    <row r="35" spans="1:14">
      <c r="A35" s="1" t="s">
        <v>93</v>
      </c>
      <c r="B35" s="88">
        <v>12</v>
      </c>
      <c r="C35" s="88">
        <v>14</v>
      </c>
      <c r="D35" s="88">
        <v>16.5</v>
      </c>
      <c r="E35" s="88">
        <v>19</v>
      </c>
      <c r="F35" s="88">
        <v>21.5</v>
      </c>
      <c r="G35" s="88">
        <v>24</v>
      </c>
      <c r="I35" s="1" t="s">
        <v>120</v>
      </c>
      <c r="J35" s="1"/>
      <c r="K35" s="1"/>
      <c r="L35" s="1"/>
      <c r="M35" s="1"/>
      <c r="N35" s="1"/>
    </row>
    <row r="36" spans="1:14" ht="15" customHeight="1">
      <c r="A36" s="1" t="s">
        <v>94</v>
      </c>
      <c r="B36" s="88">
        <v>12</v>
      </c>
      <c r="C36" s="88">
        <v>14</v>
      </c>
      <c r="D36" s="88">
        <v>16.5</v>
      </c>
      <c r="E36" s="88">
        <v>19</v>
      </c>
      <c r="F36" s="88">
        <v>21.5</v>
      </c>
      <c r="G36" s="88">
        <v>24</v>
      </c>
      <c r="I36" s="1" t="s">
        <v>68</v>
      </c>
      <c r="J36" s="1" t="s">
        <v>161</v>
      </c>
      <c r="K36" s="1"/>
      <c r="L36" s="1"/>
      <c r="M36" s="1"/>
      <c r="N36" s="1"/>
    </row>
    <row r="37" spans="1:14">
      <c r="A37" s="1" t="s">
        <v>228</v>
      </c>
      <c r="B37" s="89">
        <v>0.91</v>
      </c>
      <c r="C37" s="89">
        <v>0.91</v>
      </c>
      <c r="D37" s="89">
        <v>0.91</v>
      </c>
      <c r="E37" s="89">
        <v>0.91</v>
      </c>
      <c r="F37" s="89">
        <v>0.91</v>
      </c>
      <c r="G37" s="89">
        <v>0.91</v>
      </c>
      <c r="I37" s="1" t="s">
        <v>69</v>
      </c>
      <c r="J37" s="1" t="s">
        <v>126</v>
      </c>
      <c r="K37" s="1"/>
      <c r="L37" s="1"/>
      <c r="M37" s="1"/>
      <c r="N37" s="1"/>
    </row>
    <row r="38" spans="1:14">
      <c r="A38" s="1" t="s">
        <v>227</v>
      </c>
      <c r="B38" s="89">
        <v>0.81</v>
      </c>
      <c r="C38" s="89">
        <v>0.81</v>
      </c>
      <c r="D38" s="89">
        <v>0.81</v>
      </c>
      <c r="E38" s="89">
        <v>0.81</v>
      </c>
      <c r="F38" s="89">
        <v>0.81</v>
      </c>
      <c r="G38" s="89">
        <v>0.81</v>
      </c>
      <c r="I38" s="70" t="s">
        <v>124</v>
      </c>
      <c r="J38" s="1" t="s">
        <v>125</v>
      </c>
      <c r="K38" s="1"/>
      <c r="L38" s="1"/>
      <c r="M38" s="1"/>
      <c r="N38" s="1"/>
    </row>
    <row r="39" spans="1:14">
      <c r="A39" s="1" t="s">
        <v>256</v>
      </c>
      <c r="B39" s="72">
        <v>7.5</v>
      </c>
      <c r="C39" s="72">
        <v>9</v>
      </c>
      <c r="D39" s="72">
        <v>10.8</v>
      </c>
      <c r="E39" s="72">
        <v>12.2</v>
      </c>
      <c r="F39" s="72">
        <v>13.5</v>
      </c>
      <c r="G39" s="72">
        <v>15.5</v>
      </c>
      <c r="I39" s="70" t="s">
        <v>121</v>
      </c>
      <c r="J39" s="1" t="s">
        <v>70</v>
      </c>
      <c r="K39" s="1"/>
      <c r="L39" s="1"/>
      <c r="M39" s="1"/>
      <c r="N39" s="1"/>
    </row>
    <row r="40" spans="1:14">
      <c r="A40" s="1" t="s">
        <v>261</v>
      </c>
      <c r="B40" s="90">
        <v>0.1</v>
      </c>
      <c r="C40" s="90">
        <v>0.1</v>
      </c>
      <c r="D40" s="90">
        <v>0.1</v>
      </c>
      <c r="E40" s="90">
        <v>0.1</v>
      </c>
      <c r="F40" s="90">
        <v>0.1</v>
      </c>
      <c r="G40" s="90">
        <v>0.1</v>
      </c>
      <c r="I40" s="16"/>
    </row>
    <row r="41" spans="1:14">
      <c r="A41" s="1" t="s">
        <v>5</v>
      </c>
      <c r="B41" s="91">
        <f>(B31+B32+B33)/3</f>
        <v>460</v>
      </c>
      <c r="C41" s="91">
        <f t="shared" ref="C41:G41" si="5">(C31+C32+C33)/3</f>
        <v>460</v>
      </c>
      <c r="D41" s="91">
        <f t="shared" si="5"/>
        <v>460</v>
      </c>
      <c r="E41" s="91">
        <f t="shared" si="5"/>
        <v>460</v>
      </c>
      <c r="F41" s="91">
        <f t="shared" si="5"/>
        <v>460</v>
      </c>
      <c r="G41" s="91">
        <f t="shared" si="5"/>
        <v>460</v>
      </c>
      <c r="I41" s="1" t="s">
        <v>135</v>
      </c>
    </row>
    <row r="42" spans="1:14">
      <c r="A42" s="1" t="s">
        <v>169</v>
      </c>
      <c r="B42" s="92">
        <f t="shared" ref="B42:G42" si="6">B57/B41</f>
        <v>0</v>
      </c>
      <c r="C42" s="92">
        <f t="shared" si="6"/>
        <v>0</v>
      </c>
      <c r="D42" s="92">
        <f t="shared" si="6"/>
        <v>0</v>
      </c>
      <c r="E42" s="92">
        <f t="shared" si="6"/>
        <v>0</v>
      </c>
      <c r="F42" s="92">
        <f t="shared" si="6"/>
        <v>0</v>
      </c>
      <c r="G42" s="92">
        <f t="shared" si="6"/>
        <v>0</v>
      </c>
    </row>
    <row r="43" spans="1:14">
      <c r="A43" s="1" t="s">
        <v>6</v>
      </c>
      <c r="B43" s="91">
        <f>(B34+B35+B36)/3</f>
        <v>12</v>
      </c>
      <c r="C43" s="91">
        <f t="shared" ref="C43:G43" si="7">(C34+C35+C36)/3</f>
        <v>14</v>
      </c>
      <c r="D43" s="91">
        <f t="shared" si="7"/>
        <v>16.5</v>
      </c>
      <c r="E43" s="91">
        <f t="shared" si="7"/>
        <v>19</v>
      </c>
      <c r="F43" s="91">
        <f t="shared" si="7"/>
        <v>21.5</v>
      </c>
      <c r="G43" s="91">
        <f t="shared" si="7"/>
        <v>24</v>
      </c>
      <c r="I43" s="1" t="s">
        <v>285</v>
      </c>
    </row>
    <row r="44" spans="1:14">
      <c r="A44" s="1" t="s">
        <v>170</v>
      </c>
      <c r="B44" s="92">
        <f t="shared" ref="B44:G44" si="8">B65/B43</f>
        <v>0</v>
      </c>
      <c r="C44" s="92">
        <f t="shared" si="8"/>
        <v>0</v>
      </c>
      <c r="D44" s="92">
        <f t="shared" si="8"/>
        <v>0</v>
      </c>
      <c r="E44" s="92">
        <f t="shared" si="8"/>
        <v>0</v>
      </c>
      <c r="F44" s="92">
        <f t="shared" si="8"/>
        <v>0</v>
      </c>
      <c r="G44" s="92">
        <f t="shared" si="8"/>
        <v>0</v>
      </c>
      <c r="I44" s="1"/>
      <c r="L44" s="1" t="s">
        <v>284</v>
      </c>
    </row>
    <row r="45" spans="1:14">
      <c r="A45" s="1" t="s">
        <v>140</v>
      </c>
      <c r="B45" s="73">
        <f>(B15*B27*E6)/3960</f>
        <v>2.9615767756547147</v>
      </c>
      <c r="C45" s="73">
        <f>(C15*C27*E6)/3960</f>
        <v>5.9148364274599388</v>
      </c>
      <c r="D45" s="73">
        <f>(D15*D27*E6)/3960</f>
        <v>8.7504517305560796</v>
      </c>
      <c r="E45" s="73">
        <f>(E15*E27*E6)/3960</f>
        <v>11.258085359073442</v>
      </c>
      <c r="F45" s="73">
        <f>(F15*F27*E6)/3960</f>
        <v>13.252652512394864</v>
      </c>
      <c r="G45" s="73">
        <f>(G15*G27*E6)/3960</f>
        <v>14.246038086872867</v>
      </c>
      <c r="I45" s="1"/>
    </row>
    <row r="46" spans="1:14">
      <c r="A46" s="1" t="s">
        <v>198</v>
      </c>
      <c r="B46" s="73">
        <f>(1.732*B41*B43*B37*B38)/746</f>
        <v>9.4465787453083117</v>
      </c>
      <c r="C46" s="73">
        <f>(1.732*C41*C43*C37*C38)/746</f>
        <v>11.021008536193031</v>
      </c>
      <c r="D46" s="73">
        <f>(1.732*D41*D43*D37*D38)/746</f>
        <v>12.98904577479893</v>
      </c>
      <c r="E46" s="73">
        <f>(1.732*E41*E43*E37*E38)/746</f>
        <v>14.957083013404828</v>
      </c>
      <c r="F46" s="73">
        <f t="shared" ref="F46:G46" si="9">(1.732*F41*F43*F37*F38)/746</f>
        <v>16.925120252010725</v>
      </c>
      <c r="G46" s="73">
        <f t="shared" si="9"/>
        <v>18.893157490616623</v>
      </c>
    </row>
    <row r="47" spans="1:14">
      <c r="A47" s="1" t="s">
        <v>199</v>
      </c>
      <c r="B47" s="73">
        <f t="shared" ref="B47:G47" si="10">(B39*B37)/0.746</f>
        <v>9.148793565683647</v>
      </c>
      <c r="C47" s="73">
        <f t="shared" si="10"/>
        <v>10.978552278820375</v>
      </c>
      <c r="D47" s="73">
        <f t="shared" si="10"/>
        <v>13.174262734584453</v>
      </c>
      <c r="E47" s="73">
        <f t="shared" si="10"/>
        <v>14.882037533512065</v>
      </c>
      <c r="F47" s="73">
        <f t="shared" si="10"/>
        <v>16.467828418230564</v>
      </c>
      <c r="G47" s="73">
        <f t="shared" si="10"/>
        <v>18.907506702412871</v>
      </c>
    </row>
    <row r="48" spans="1:14">
      <c r="A48" s="1" t="s">
        <v>200</v>
      </c>
      <c r="B48" s="93">
        <f t="shared" ref="B48:G48" si="11">B45/B46</f>
        <v>0.31350786940992748</v>
      </c>
      <c r="C48" s="93">
        <f t="shared" si="11"/>
        <v>0.5366874009792838</v>
      </c>
      <c r="D48" s="93">
        <f t="shared" si="11"/>
        <v>0.67367933582415418</v>
      </c>
      <c r="E48" s="93">
        <f t="shared" si="11"/>
        <v>0.75269257708763981</v>
      </c>
      <c r="F48" s="93">
        <f t="shared" si="11"/>
        <v>0.78301674168728186</v>
      </c>
      <c r="G48" s="93">
        <f t="shared" si="11"/>
        <v>0.75403161668176588</v>
      </c>
    </row>
    <row r="49" spans="1:9" ht="12.75" customHeight="1">
      <c r="A49" s="1" t="s">
        <v>201</v>
      </c>
      <c r="B49" s="93">
        <f>B45/B47</f>
        <v>0.32371227467229552</v>
      </c>
      <c r="C49" s="93">
        <f t="shared" ref="C49:G49" si="12">C45/C47</f>
        <v>0.53876287849635096</v>
      </c>
      <c r="D49" s="93">
        <f t="shared" si="12"/>
        <v>0.66420807804180249</v>
      </c>
      <c r="E49" s="93">
        <f t="shared" si="12"/>
        <v>0.75648817130866397</v>
      </c>
      <c r="F49" s="93">
        <f t="shared" si="12"/>
        <v>0.80476017698384761</v>
      </c>
      <c r="G49" s="93">
        <f t="shared" si="12"/>
        <v>0.75345936992606577</v>
      </c>
    </row>
    <row r="50" spans="1:9" ht="0.2" customHeight="1">
      <c r="A50" s="39" t="s">
        <v>173</v>
      </c>
      <c r="B50" s="94">
        <f t="shared" ref="B50:G50" si="13">B31-B41</f>
        <v>0</v>
      </c>
      <c r="C50" s="94">
        <f t="shared" si="13"/>
        <v>0</v>
      </c>
      <c r="D50" s="94">
        <f t="shared" si="13"/>
        <v>0</v>
      </c>
      <c r="E50" s="94">
        <f t="shared" si="13"/>
        <v>0</v>
      </c>
      <c r="F50" s="94">
        <f t="shared" si="13"/>
        <v>0</v>
      </c>
      <c r="G50" s="94">
        <f t="shared" si="13"/>
        <v>0</v>
      </c>
      <c r="I50" s="5"/>
    </row>
    <row r="51" spans="1:9" ht="0.2" customHeight="1">
      <c r="B51" s="94">
        <f t="shared" ref="B51:G51" si="14">B32-B41</f>
        <v>0</v>
      </c>
      <c r="C51" s="94">
        <f t="shared" si="14"/>
        <v>0</v>
      </c>
      <c r="D51" s="94">
        <f t="shared" si="14"/>
        <v>0</v>
      </c>
      <c r="E51" s="94">
        <f t="shared" si="14"/>
        <v>0</v>
      </c>
      <c r="F51" s="94">
        <f t="shared" si="14"/>
        <v>0</v>
      </c>
      <c r="G51" s="94">
        <f t="shared" si="14"/>
        <v>0</v>
      </c>
      <c r="I51" s="5"/>
    </row>
    <row r="52" spans="1:9" ht="0.2" customHeight="1">
      <c r="B52" s="94">
        <f t="shared" ref="B52:G52" si="15">B33-B41</f>
        <v>0</v>
      </c>
      <c r="C52" s="94">
        <f t="shared" si="15"/>
        <v>0</v>
      </c>
      <c r="D52" s="94">
        <f t="shared" si="15"/>
        <v>0</v>
      </c>
      <c r="E52" s="94">
        <f t="shared" si="15"/>
        <v>0</v>
      </c>
      <c r="F52" s="94">
        <f t="shared" si="15"/>
        <v>0</v>
      </c>
      <c r="G52" s="94">
        <f t="shared" si="15"/>
        <v>0</v>
      </c>
      <c r="I52" s="5"/>
    </row>
    <row r="53" spans="1:9" ht="0.2" customHeight="1">
      <c r="A53" t="s">
        <v>171</v>
      </c>
      <c r="B53" s="94">
        <f>IF(B50&lt;0,B50*-1,B50)</f>
        <v>0</v>
      </c>
      <c r="C53" s="94">
        <f t="shared" ref="C53:G53" si="16">IF(C50&lt;0,C50*-1,C50)</f>
        <v>0</v>
      </c>
      <c r="D53" s="94">
        <f t="shared" si="16"/>
        <v>0</v>
      </c>
      <c r="E53" s="94">
        <f t="shared" si="16"/>
        <v>0</v>
      </c>
      <c r="F53" s="94">
        <f t="shared" si="16"/>
        <v>0</v>
      </c>
      <c r="G53" s="94">
        <f t="shared" si="16"/>
        <v>0</v>
      </c>
      <c r="I53" s="5"/>
    </row>
    <row r="54" spans="1:9" ht="0.2" customHeight="1">
      <c r="B54" s="94">
        <f>IF(B51&lt;0,B51*-1,B51)</f>
        <v>0</v>
      </c>
      <c r="C54" s="94">
        <f t="shared" ref="C54:G54" si="17">IF(C51&lt;0,C51*-1,C51)</f>
        <v>0</v>
      </c>
      <c r="D54" s="94">
        <f t="shared" si="17"/>
        <v>0</v>
      </c>
      <c r="E54" s="94">
        <f t="shared" si="17"/>
        <v>0</v>
      </c>
      <c r="F54" s="94">
        <f t="shared" si="17"/>
        <v>0</v>
      </c>
      <c r="G54" s="94">
        <f t="shared" si="17"/>
        <v>0</v>
      </c>
    </row>
    <row r="55" spans="1:9" ht="0.2" customHeight="1">
      <c r="B55" s="94">
        <f>IF(B52&lt;0,B52*-1,B52)</f>
        <v>0</v>
      </c>
      <c r="C55" s="94">
        <f t="shared" ref="C55:G55" si="18">IF(C52&lt;0,C52*-1,C52)</f>
        <v>0</v>
      </c>
      <c r="D55" s="94">
        <f t="shared" si="18"/>
        <v>0</v>
      </c>
      <c r="E55" s="94">
        <f t="shared" si="18"/>
        <v>0</v>
      </c>
      <c r="F55" s="94">
        <f t="shared" si="18"/>
        <v>0</v>
      </c>
      <c r="G55" s="94">
        <f t="shared" si="18"/>
        <v>0</v>
      </c>
    </row>
    <row r="56" spans="1:9" ht="0.2" customHeight="1">
      <c r="A56" t="s">
        <v>172</v>
      </c>
      <c r="B56" s="94">
        <f t="shared" ref="B56:G56" si="19">IF(B53&lt;B54,B54,B53)</f>
        <v>0</v>
      </c>
      <c r="C56" s="94">
        <f t="shared" si="19"/>
        <v>0</v>
      </c>
      <c r="D56" s="94">
        <f t="shared" si="19"/>
        <v>0</v>
      </c>
      <c r="E56" s="94">
        <f t="shared" si="19"/>
        <v>0</v>
      </c>
      <c r="F56" s="94">
        <f t="shared" si="19"/>
        <v>0</v>
      </c>
      <c r="G56" s="94">
        <f t="shared" si="19"/>
        <v>0</v>
      </c>
    </row>
    <row r="57" spans="1:9" ht="0.2" customHeight="1">
      <c r="B57" s="94">
        <f t="shared" ref="B57:G57" si="20">IF(B55&lt;B56,B56,B55)</f>
        <v>0</v>
      </c>
      <c r="C57" s="94">
        <f t="shared" si="20"/>
        <v>0</v>
      </c>
      <c r="D57" s="94">
        <f t="shared" si="20"/>
        <v>0</v>
      </c>
      <c r="E57" s="94">
        <f t="shared" si="20"/>
        <v>0</v>
      </c>
      <c r="F57" s="94">
        <f t="shared" si="20"/>
        <v>0</v>
      </c>
      <c r="G57" s="94">
        <f t="shared" si="20"/>
        <v>0</v>
      </c>
    </row>
    <row r="58" spans="1:9" ht="0.2" customHeight="1">
      <c r="A58" t="s">
        <v>174</v>
      </c>
      <c r="B58" s="94">
        <f t="shared" ref="B58:G58" si="21">B34-B43</f>
        <v>0</v>
      </c>
      <c r="C58" s="94">
        <f t="shared" si="21"/>
        <v>0</v>
      </c>
      <c r="D58" s="94">
        <f t="shared" si="21"/>
        <v>0</v>
      </c>
      <c r="E58" s="94">
        <f t="shared" si="21"/>
        <v>0</v>
      </c>
      <c r="F58" s="94">
        <f t="shared" si="21"/>
        <v>0</v>
      </c>
      <c r="G58" s="94">
        <f t="shared" si="21"/>
        <v>0</v>
      </c>
    </row>
    <row r="59" spans="1:9" ht="0.2" customHeight="1">
      <c r="B59" s="94">
        <f t="shared" ref="B59:G59" si="22">B35-B43</f>
        <v>0</v>
      </c>
      <c r="C59" s="94">
        <f t="shared" si="22"/>
        <v>0</v>
      </c>
      <c r="D59" s="94">
        <f t="shared" si="22"/>
        <v>0</v>
      </c>
      <c r="E59" s="94">
        <f t="shared" si="22"/>
        <v>0</v>
      </c>
      <c r="F59" s="94">
        <f t="shared" si="22"/>
        <v>0</v>
      </c>
      <c r="G59" s="94">
        <f t="shared" si="22"/>
        <v>0</v>
      </c>
    </row>
    <row r="60" spans="1:9" ht="0.2" customHeight="1">
      <c r="B60" s="94">
        <f t="shared" ref="B60:G60" si="23">B36-B43</f>
        <v>0</v>
      </c>
      <c r="C60" s="94">
        <f t="shared" si="23"/>
        <v>0</v>
      </c>
      <c r="D60" s="94">
        <f t="shared" si="23"/>
        <v>0</v>
      </c>
      <c r="E60" s="94">
        <f t="shared" si="23"/>
        <v>0</v>
      </c>
      <c r="F60" s="94">
        <f t="shared" si="23"/>
        <v>0</v>
      </c>
      <c r="G60" s="94">
        <f t="shared" si="23"/>
        <v>0</v>
      </c>
    </row>
    <row r="61" spans="1:9" ht="0.2" customHeight="1">
      <c r="A61" t="s">
        <v>171</v>
      </c>
      <c r="B61" s="94">
        <f t="shared" ref="B61:G61" si="24">IF(B58&lt;0,B58*-1,B58)</f>
        <v>0</v>
      </c>
      <c r="C61" s="94">
        <f t="shared" si="24"/>
        <v>0</v>
      </c>
      <c r="D61" s="94">
        <f t="shared" si="24"/>
        <v>0</v>
      </c>
      <c r="E61" s="94">
        <f t="shared" si="24"/>
        <v>0</v>
      </c>
      <c r="F61" s="94">
        <f t="shared" si="24"/>
        <v>0</v>
      </c>
      <c r="G61" s="94">
        <f t="shared" si="24"/>
        <v>0</v>
      </c>
    </row>
    <row r="62" spans="1:9" ht="0.2" customHeight="1">
      <c r="B62" s="94">
        <f t="shared" ref="B62:C63" si="25">IF(B59&lt;0,B59*-1,B59)</f>
        <v>0</v>
      </c>
      <c r="C62" s="94">
        <f t="shared" si="25"/>
        <v>0</v>
      </c>
      <c r="D62" s="94">
        <f t="shared" ref="D62:G62" si="26">IF(D59&lt;0,D59*-1,D59)</f>
        <v>0</v>
      </c>
      <c r="E62" s="94">
        <f t="shared" si="26"/>
        <v>0</v>
      </c>
      <c r="F62" s="94">
        <f t="shared" si="26"/>
        <v>0</v>
      </c>
      <c r="G62" s="94">
        <f t="shared" si="26"/>
        <v>0</v>
      </c>
    </row>
    <row r="63" spans="1:9" ht="0.2" customHeight="1">
      <c r="B63" s="94">
        <f t="shared" si="25"/>
        <v>0</v>
      </c>
      <c r="C63" s="94">
        <f t="shared" si="25"/>
        <v>0</v>
      </c>
      <c r="D63" s="94">
        <f t="shared" ref="D63:G63" si="27">IF(D60&lt;0,D60*-1,D60)</f>
        <v>0</v>
      </c>
      <c r="E63" s="94">
        <f t="shared" si="27"/>
        <v>0</v>
      </c>
      <c r="F63" s="94">
        <f t="shared" si="27"/>
        <v>0</v>
      </c>
      <c r="G63" s="94">
        <f t="shared" si="27"/>
        <v>0</v>
      </c>
    </row>
    <row r="64" spans="1:9" ht="0.2" customHeight="1">
      <c r="A64" t="s">
        <v>172</v>
      </c>
      <c r="B64" s="94">
        <f>IF(B61&lt;B62,B62,B61)</f>
        <v>0</v>
      </c>
      <c r="C64" s="94">
        <f t="shared" ref="C64" si="28">IF(C61&lt;C62,C62,C61)</f>
        <v>0</v>
      </c>
      <c r="D64" s="94">
        <f>IF(D61&lt;D62,D62,D61)</f>
        <v>0</v>
      </c>
      <c r="E64" s="94">
        <f>IF(E61&lt;E62,E62,E61)</f>
        <v>0</v>
      </c>
      <c r="F64" s="94">
        <f>IF(F61&lt;F62,F62,F61)</f>
        <v>0</v>
      </c>
      <c r="G64" s="94">
        <f>IF(G61&lt;G62,G62,G61)</f>
        <v>0</v>
      </c>
    </row>
    <row r="65" spans="1:9" ht="0.2" customHeight="1">
      <c r="B65" s="94">
        <f>IF(B63&lt;B64,B64,B63)</f>
        <v>0</v>
      </c>
      <c r="C65" s="94">
        <f t="shared" ref="C65" si="29">IF(C63&lt;C64,C64,C63)</f>
        <v>0</v>
      </c>
      <c r="D65" s="94">
        <f>IF(D63&lt;D64,D64,D63)</f>
        <v>0</v>
      </c>
      <c r="E65" s="94">
        <f>IF(E63&lt;E64,E64,E63)</f>
        <v>0</v>
      </c>
      <c r="F65" s="94">
        <f>IF(F63&lt;F64,F64,F63)</f>
        <v>0</v>
      </c>
      <c r="G65" s="94">
        <f>IF(G63&lt;G64,G64,G63)</f>
        <v>0</v>
      </c>
    </row>
    <row r="66" spans="1:9" ht="12.75" customHeight="1">
      <c r="A66" s="1" t="s">
        <v>262</v>
      </c>
      <c r="B66" s="95">
        <f t="shared" ref="B66:G66" si="30">(0.189*B40*B27)/(B48*B37*60)</f>
        <v>0.1294907948010724</v>
      </c>
      <c r="C66" s="95">
        <f t="shared" si="30"/>
        <v>7.5536296967292235E-2</v>
      </c>
      <c r="D66" s="95">
        <f t="shared" si="30"/>
        <v>5.9349947617158172E-2</v>
      </c>
      <c r="E66" s="95">
        <f t="shared" si="30"/>
        <v>5.1256772942091161E-2</v>
      </c>
      <c r="F66" s="95">
        <f t="shared" si="30"/>
        <v>4.6400868137050931E-2</v>
      </c>
      <c r="G66" s="95">
        <f t="shared" si="30"/>
        <v>4.3163598267024136E-2</v>
      </c>
    </row>
    <row r="67" spans="1:9" ht="12.75" customHeight="1">
      <c r="A67" s="1" t="s">
        <v>263</v>
      </c>
      <c r="B67" s="95">
        <f>(0.189*B40*B27)/(B49*B37*60)</f>
        <v>0.1254088471849866</v>
      </c>
      <c r="C67" s="95">
        <f t="shared" ref="C67:G67" si="31">(0.189*C40*C27)/(C49*C37*60)</f>
        <v>7.5245308310991951E-2</v>
      </c>
      <c r="D67" s="95">
        <f t="shared" si="31"/>
        <v>6.0196246648793569E-2</v>
      </c>
      <c r="E67" s="95">
        <f t="shared" si="31"/>
        <v>5.0999597855227875E-2</v>
      </c>
      <c r="F67" s="95">
        <f t="shared" si="31"/>
        <v>4.5147184986595167E-2</v>
      </c>
      <c r="G67" s="95">
        <f t="shared" si="31"/>
        <v>4.3196380697050944E-2</v>
      </c>
      <c r="I67" s="5" t="s">
        <v>71</v>
      </c>
    </row>
    <row r="68" spans="1:9" ht="12.75" customHeight="1">
      <c r="B68" s="38"/>
      <c r="C68" s="38"/>
      <c r="D68" s="38"/>
      <c r="E68" s="38"/>
      <c r="F68" s="38"/>
      <c r="G68" s="38"/>
    </row>
    <row r="69" spans="1:9" ht="12.75" customHeight="1">
      <c r="B69" s="38"/>
      <c r="C69" s="38"/>
      <c r="D69" s="38"/>
      <c r="E69" s="38"/>
      <c r="F69" s="38"/>
      <c r="G69" s="38"/>
    </row>
    <row r="70" spans="1:9">
      <c r="B70" s="38"/>
      <c r="C70" s="38"/>
      <c r="D70" s="38"/>
      <c r="E70" s="38"/>
      <c r="F70" s="38"/>
      <c r="G70" s="38"/>
    </row>
    <row r="71" spans="1:9">
      <c r="B71" s="38"/>
      <c r="C71" s="38"/>
      <c r="D71" s="38"/>
      <c r="E71" s="38"/>
      <c r="F71" s="38"/>
      <c r="G71" s="38"/>
    </row>
    <row r="72" spans="1:9" ht="23.25">
      <c r="A72" s="18" t="s">
        <v>79</v>
      </c>
    </row>
    <row r="74" spans="1:9">
      <c r="A74" s="1" t="s">
        <v>83</v>
      </c>
    </row>
    <row r="91" spans="1:1">
      <c r="A91" s="1"/>
    </row>
    <row r="111" spans="1:9">
      <c r="A111" s="5" t="s">
        <v>80</v>
      </c>
    </row>
    <row r="112" spans="1:9">
      <c r="C112" t="s">
        <v>81</v>
      </c>
      <c r="I112" t="s">
        <v>82</v>
      </c>
    </row>
  </sheetData>
  <pageMargins left="0.7" right="0.7" top="0.75" bottom="0.75" header="0.3" footer="0.3"/>
  <pageSetup scale="75" orientation="landscape" horizontalDpi="4294967293" verticalDpi="1200" r:id="rId1"/>
  <ignoredErrors>
    <ignoredError sqref="G4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7"/>
  <sheetViews>
    <sheetView showGridLines="0" zoomScaleNormal="100" workbookViewId="0">
      <selection activeCell="B3" sqref="B3"/>
    </sheetView>
  </sheetViews>
  <sheetFormatPr defaultRowHeight="15"/>
  <cols>
    <col min="1" max="1" width="30.7109375" customWidth="1"/>
    <col min="2" max="5" width="18.7109375" customWidth="1"/>
    <col min="6" max="6" width="5.7109375" customWidth="1"/>
    <col min="8" max="8" width="5.7109375" customWidth="1"/>
  </cols>
  <sheetData>
    <row r="1" spans="1:11" ht="23.25">
      <c r="A1" s="2" t="s">
        <v>184</v>
      </c>
    </row>
    <row r="3" spans="1:11">
      <c r="A3" s="1" t="s">
        <v>48</v>
      </c>
      <c r="B3" s="6" t="s">
        <v>177</v>
      </c>
      <c r="C3" s="7"/>
      <c r="D3" s="7"/>
      <c r="E3" s="8"/>
      <c r="G3" s="5" t="s">
        <v>46</v>
      </c>
      <c r="H3" s="5" t="s">
        <v>56</v>
      </c>
      <c r="I3" s="5"/>
      <c r="J3" s="5"/>
      <c r="K3" s="5"/>
    </row>
    <row r="4" spans="1:11">
      <c r="A4" s="1" t="s">
        <v>84</v>
      </c>
      <c r="B4" s="65" t="s">
        <v>203</v>
      </c>
      <c r="C4" s="7"/>
      <c r="D4" s="7"/>
      <c r="E4" s="8"/>
      <c r="F4" s="13"/>
      <c r="G4" s="24"/>
      <c r="H4" s="1" t="s">
        <v>178</v>
      </c>
      <c r="I4" s="1"/>
      <c r="J4" s="4"/>
      <c r="K4" s="1" t="s">
        <v>179</v>
      </c>
    </row>
    <row r="5" spans="1:11">
      <c r="A5" s="1" t="s">
        <v>7</v>
      </c>
      <c r="B5" s="10">
        <v>40403</v>
      </c>
      <c r="C5" s="52" t="s">
        <v>10</v>
      </c>
      <c r="D5" s="6" t="s">
        <v>106</v>
      </c>
      <c r="E5" s="8"/>
    </row>
    <row r="6" spans="1:11">
      <c r="A6" s="1" t="s">
        <v>0</v>
      </c>
      <c r="B6" s="12">
        <v>123456</v>
      </c>
      <c r="C6" s="52" t="s">
        <v>157</v>
      </c>
      <c r="D6" s="15">
        <v>1</v>
      </c>
      <c r="E6" s="23" t="s">
        <v>175</v>
      </c>
      <c r="G6" s="5" t="s">
        <v>97</v>
      </c>
    </row>
    <row r="7" spans="1:11">
      <c r="A7" s="1" t="s">
        <v>1</v>
      </c>
      <c r="B7" s="12">
        <v>654321</v>
      </c>
      <c r="C7" s="52" t="s">
        <v>98</v>
      </c>
      <c r="D7" s="6" t="s">
        <v>205</v>
      </c>
      <c r="E7" s="8"/>
      <c r="G7" s="1" t="s">
        <v>180</v>
      </c>
    </row>
    <row r="8" spans="1:11">
      <c r="A8" s="1" t="s">
        <v>2</v>
      </c>
      <c r="B8" s="33">
        <v>0.375</v>
      </c>
      <c r="C8" s="12"/>
      <c r="D8" s="12"/>
      <c r="E8" s="12"/>
      <c r="G8" t="s">
        <v>26</v>
      </c>
      <c r="H8" t="s">
        <v>30</v>
      </c>
      <c r="I8" t="s">
        <v>142</v>
      </c>
    </row>
    <row r="9" spans="1:11">
      <c r="A9" s="1" t="s">
        <v>34</v>
      </c>
      <c r="B9" s="23" t="s">
        <v>176</v>
      </c>
      <c r="C9" s="23" t="s">
        <v>89</v>
      </c>
      <c r="D9" s="23" t="s">
        <v>89</v>
      </c>
      <c r="E9" s="23" t="s">
        <v>89</v>
      </c>
      <c r="H9" t="s">
        <v>39</v>
      </c>
      <c r="I9" t="s">
        <v>28</v>
      </c>
    </row>
    <row r="10" spans="1:11">
      <c r="A10" s="1" t="s">
        <v>95</v>
      </c>
      <c r="B10" s="23"/>
      <c r="C10" s="23"/>
      <c r="D10" s="23"/>
      <c r="E10" s="23"/>
      <c r="I10" t="s">
        <v>40</v>
      </c>
    </row>
    <row r="11" spans="1:11">
      <c r="A11" s="1"/>
      <c r="B11" s="53"/>
      <c r="C11" s="54"/>
      <c r="D11" s="54"/>
      <c r="E11" s="54"/>
      <c r="H11" t="s">
        <v>41</v>
      </c>
      <c r="I11" t="s">
        <v>42</v>
      </c>
    </row>
    <row r="12" spans="1:11">
      <c r="A12" s="1"/>
      <c r="B12" s="9"/>
      <c r="C12" s="9"/>
      <c r="D12" s="9"/>
      <c r="E12" s="9"/>
      <c r="I12" t="s">
        <v>43</v>
      </c>
    </row>
    <row r="13" spans="1:11">
      <c r="A13" s="1" t="s">
        <v>3</v>
      </c>
      <c r="B13" s="11" t="s">
        <v>204</v>
      </c>
      <c r="C13" s="9"/>
      <c r="D13" s="62" t="s">
        <v>232</v>
      </c>
      <c r="E13" s="9"/>
      <c r="H13" t="s">
        <v>27</v>
      </c>
      <c r="I13" t="s">
        <v>115</v>
      </c>
    </row>
    <row r="14" spans="1:11" ht="15" customHeight="1">
      <c r="A14" s="1"/>
      <c r="B14" s="9"/>
      <c r="C14" s="9"/>
      <c r="D14" s="9"/>
      <c r="E14" s="9"/>
      <c r="H14" t="s">
        <v>33</v>
      </c>
      <c r="I14" t="s">
        <v>181</v>
      </c>
    </row>
    <row r="15" spans="1:11">
      <c r="A15" s="1" t="s">
        <v>226</v>
      </c>
      <c r="B15" s="26">
        <v>400</v>
      </c>
      <c r="C15" s="26">
        <v>800</v>
      </c>
      <c r="D15" s="26">
        <v>1200</v>
      </c>
      <c r="E15" s="26">
        <v>1600</v>
      </c>
    </row>
    <row r="16" spans="1:11" ht="17.25">
      <c r="A16" s="1" t="s">
        <v>18</v>
      </c>
      <c r="B16" s="27">
        <v>10</v>
      </c>
      <c r="C16" s="27">
        <v>10</v>
      </c>
      <c r="D16" s="27">
        <v>10</v>
      </c>
      <c r="E16" s="27">
        <v>10</v>
      </c>
      <c r="G16" s="1" t="s">
        <v>73</v>
      </c>
    </row>
    <row r="17" spans="1:9">
      <c r="A17" s="1" t="s">
        <v>11</v>
      </c>
      <c r="B17" s="27">
        <v>99</v>
      </c>
      <c r="C17" s="27">
        <v>86</v>
      </c>
      <c r="D17" s="27">
        <v>71</v>
      </c>
      <c r="E17" s="27">
        <v>51</v>
      </c>
      <c r="G17" t="s">
        <v>26</v>
      </c>
      <c r="H17" t="s">
        <v>68</v>
      </c>
      <c r="I17" t="s">
        <v>159</v>
      </c>
    </row>
    <row r="18" spans="1:9">
      <c r="A18" s="1" t="s">
        <v>141</v>
      </c>
      <c r="B18" s="27">
        <v>0.3</v>
      </c>
      <c r="C18" s="27">
        <v>1.3</v>
      </c>
      <c r="D18" s="27">
        <v>2.7</v>
      </c>
      <c r="E18" s="27">
        <v>5</v>
      </c>
      <c r="H18" t="s">
        <v>119</v>
      </c>
    </row>
    <row r="19" spans="1:9">
      <c r="A19" s="1" t="s">
        <v>229</v>
      </c>
      <c r="B19" s="27">
        <v>12</v>
      </c>
      <c r="C19" s="27">
        <v>12</v>
      </c>
      <c r="D19" s="27">
        <v>12</v>
      </c>
      <c r="E19" s="27">
        <v>12</v>
      </c>
    </row>
    <row r="20" spans="1:9">
      <c r="A20" s="1" t="s">
        <v>23</v>
      </c>
      <c r="B20" s="27">
        <v>6</v>
      </c>
      <c r="C20" s="27">
        <v>6</v>
      </c>
      <c r="D20" s="27">
        <v>6</v>
      </c>
      <c r="E20" s="27">
        <v>6</v>
      </c>
      <c r="H20" t="s">
        <v>118</v>
      </c>
    </row>
    <row r="21" spans="1:9">
      <c r="A21" s="1" t="s">
        <v>12</v>
      </c>
      <c r="B21" s="28">
        <f>(B15*0.4085)/(B20*B20)</f>
        <v>4.5388888888888879</v>
      </c>
      <c r="C21" s="28">
        <f>(C15*0.4085)/(C20*C20)</f>
        <v>9.0777777777777757</v>
      </c>
      <c r="D21" s="28">
        <f>(D15*0.4085)/(D20*D20)</f>
        <v>13.616666666666667</v>
      </c>
      <c r="E21" s="28">
        <f>(E15*0.4085)/(E20*E20)</f>
        <v>18.155555555555551</v>
      </c>
    </row>
    <row r="22" spans="1:9" ht="15" customHeight="1">
      <c r="A22" s="1" t="s">
        <v>182</v>
      </c>
      <c r="B22" s="28">
        <f>(B21*B21)/64.4</f>
        <v>0.31989926002607144</v>
      </c>
      <c r="C22" s="28">
        <f t="shared" ref="C22:E22" si="0">(C21*C21)/64.4</f>
        <v>1.2795970401042858</v>
      </c>
      <c r="D22" s="28">
        <f t="shared" si="0"/>
        <v>2.8790933402346446</v>
      </c>
      <c r="E22" s="28">
        <f t="shared" si="0"/>
        <v>5.1183881604171431</v>
      </c>
      <c r="G22" s="1" t="s">
        <v>110</v>
      </c>
    </row>
    <row r="23" spans="1:9" ht="15" customHeight="1">
      <c r="A23" s="1" t="s">
        <v>15</v>
      </c>
      <c r="B23" s="28">
        <f>(B15*0.4085)/(B19*B19)</f>
        <v>1.134722222222222</v>
      </c>
      <c r="C23" s="28">
        <f t="shared" ref="C23:E23" si="1">(C15*0.4085)/(C19*C19)</f>
        <v>2.2694444444444439</v>
      </c>
      <c r="D23" s="28">
        <f t="shared" si="1"/>
        <v>3.4041666666666668</v>
      </c>
      <c r="E23" s="28">
        <f t="shared" si="1"/>
        <v>4.5388888888888879</v>
      </c>
      <c r="G23" t="s">
        <v>26</v>
      </c>
      <c r="H23" t="s">
        <v>74</v>
      </c>
      <c r="I23" t="s">
        <v>143</v>
      </c>
    </row>
    <row r="24" spans="1:9" ht="15" customHeight="1">
      <c r="A24" s="1" t="s">
        <v>183</v>
      </c>
      <c r="B24" s="28">
        <f>(B23*B23)/64.4</f>
        <v>1.9993703751629465E-2</v>
      </c>
      <c r="C24" s="28">
        <f t="shared" ref="C24:E24" si="2">(C23*C23)/64.4</f>
        <v>7.997481500651786E-2</v>
      </c>
      <c r="D24" s="28">
        <f t="shared" si="2"/>
        <v>0.17994333376466529</v>
      </c>
      <c r="E24" s="28">
        <f t="shared" si="2"/>
        <v>0.31989926002607144</v>
      </c>
      <c r="H24" t="s">
        <v>76</v>
      </c>
      <c r="I24" t="s">
        <v>144</v>
      </c>
    </row>
    <row r="25" spans="1:9">
      <c r="A25" s="1" t="s">
        <v>4</v>
      </c>
      <c r="B25" s="28">
        <f>B17+B16+B18+B22-B24</f>
        <v>109.59990555627445</v>
      </c>
      <c r="C25" s="28">
        <f>C17+C16+C18+C22-C24</f>
        <v>98.499622225097767</v>
      </c>
      <c r="D25" s="28">
        <f>D17+D16+D18+D22-D24</f>
        <v>86.399150006469981</v>
      </c>
      <c r="E25" s="28">
        <f>E17+E16+E18+E22-E24</f>
        <v>70.798488900391064</v>
      </c>
    </row>
    <row r="27" spans="1:9">
      <c r="A27" s="1"/>
    </row>
    <row r="28" spans="1:9">
      <c r="A28" s="1" t="s">
        <v>49</v>
      </c>
      <c r="G28" s="1" t="s">
        <v>67</v>
      </c>
    </row>
    <row r="29" spans="1:9">
      <c r="A29" s="1"/>
      <c r="G29" s="1" t="s">
        <v>241</v>
      </c>
    </row>
    <row r="30" spans="1:9">
      <c r="A30" s="1" t="s">
        <v>50</v>
      </c>
      <c r="B30" s="29">
        <v>460</v>
      </c>
      <c r="C30" s="29">
        <v>460</v>
      </c>
      <c r="D30" s="29">
        <v>460</v>
      </c>
      <c r="E30" s="29">
        <v>460</v>
      </c>
      <c r="G30" t="s">
        <v>26</v>
      </c>
      <c r="H30" t="s">
        <v>57</v>
      </c>
      <c r="I30" t="s">
        <v>145</v>
      </c>
    </row>
    <row r="31" spans="1:9">
      <c r="A31" s="1" t="s">
        <v>51</v>
      </c>
      <c r="B31" s="29">
        <v>460</v>
      </c>
      <c r="C31" s="29">
        <v>460</v>
      </c>
      <c r="D31" s="29">
        <v>460</v>
      </c>
      <c r="E31" s="29">
        <v>460</v>
      </c>
      <c r="H31" t="s">
        <v>58</v>
      </c>
      <c r="I31" t="s">
        <v>146</v>
      </c>
    </row>
    <row r="32" spans="1:9">
      <c r="A32" s="1" t="s">
        <v>55</v>
      </c>
      <c r="B32" s="29">
        <v>460</v>
      </c>
      <c r="C32" s="29">
        <v>460</v>
      </c>
      <c r="D32" s="29">
        <v>460</v>
      </c>
      <c r="E32" s="29">
        <v>460</v>
      </c>
      <c r="H32" t="s">
        <v>59</v>
      </c>
      <c r="I32" t="s">
        <v>147</v>
      </c>
    </row>
    <row r="33" spans="1:9">
      <c r="A33" s="1" t="s">
        <v>92</v>
      </c>
      <c r="B33" s="29">
        <v>38</v>
      </c>
      <c r="C33" s="29">
        <v>42</v>
      </c>
      <c r="D33" s="29">
        <v>48</v>
      </c>
      <c r="E33" s="29">
        <v>51</v>
      </c>
      <c r="H33" t="s">
        <v>60</v>
      </c>
      <c r="I33" t="s">
        <v>148</v>
      </c>
    </row>
    <row r="34" spans="1:9">
      <c r="A34" s="1" t="s">
        <v>93</v>
      </c>
      <c r="B34" s="29">
        <v>38</v>
      </c>
      <c r="C34" s="29">
        <v>42</v>
      </c>
      <c r="D34" s="29">
        <v>48</v>
      </c>
      <c r="E34" s="29">
        <v>51</v>
      </c>
      <c r="H34" s="16">
        <v>1.732</v>
      </c>
      <c r="I34" s="35" t="s">
        <v>149</v>
      </c>
    </row>
    <row r="35" spans="1:9">
      <c r="A35" s="1" t="s">
        <v>94</v>
      </c>
      <c r="B35" s="29">
        <v>38</v>
      </c>
      <c r="C35" s="29">
        <v>42</v>
      </c>
      <c r="D35" s="29">
        <v>48</v>
      </c>
      <c r="E35" s="29">
        <v>51</v>
      </c>
      <c r="H35" s="16" t="s">
        <v>122</v>
      </c>
      <c r="I35" t="s">
        <v>150</v>
      </c>
    </row>
    <row r="36" spans="1:9">
      <c r="A36" s="1" t="s">
        <v>228</v>
      </c>
      <c r="B36" s="30">
        <v>0.81</v>
      </c>
      <c r="C36" s="30">
        <v>0.83</v>
      </c>
      <c r="D36" s="30">
        <v>0.84</v>
      </c>
      <c r="E36" s="30">
        <v>0.84</v>
      </c>
      <c r="H36" t="s">
        <v>151</v>
      </c>
      <c r="I36" t="s">
        <v>152</v>
      </c>
    </row>
    <row r="37" spans="1:9">
      <c r="A37" s="1" t="s">
        <v>227</v>
      </c>
      <c r="B37" s="30">
        <v>0.84</v>
      </c>
      <c r="C37" s="30">
        <v>0.86</v>
      </c>
      <c r="D37" s="30">
        <v>0.86</v>
      </c>
      <c r="E37" s="30">
        <v>0.86</v>
      </c>
    </row>
    <row r="38" spans="1:9">
      <c r="A38" s="1" t="s">
        <v>256</v>
      </c>
      <c r="B38" s="27">
        <v>25.2</v>
      </c>
      <c r="C38" s="27">
        <v>28.5</v>
      </c>
      <c r="D38" s="27">
        <v>32.700000000000003</v>
      </c>
      <c r="E38" s="27">
        <v>35</v>
      </c>
      <c r="G38" s="1" t="s">
        <v>120</v>
      </c>
    </row>
    <row r="39" spans="1:9">
      <c r="A39" s="1" t="s">
        <v>261</v>
      </c>
      <c r="B39" s="66">
        <v>0.11</v>
      </c>
      <c r="C39" s="66">
        <v>0.11</v>
      </c>
      <c r="D39" s="66">
        <v>0.11</v>
      </c>
      <c r="E39" s="66">
        <v>0.11</v>
      </c>
      <c r="G39" t="s">
        <v>26</v>
      </c>
      <c r="H39" t="s">
        <v>68</v>
      </c>
      <c r="I39" t="s">
        <v>158</v>
      </c>
    </row>
    <row r="40" spans="1:9">
      <c r="A40" s="1" t="s">
        <v>5</v>
      </c>
      <c r="B40" s="31">
        <f>(B30+B31+B32)/3</f>
        <v>460</v>
      </c>
      <c r="C40" s="31">
        <f t="shared" ref="C40:D40" si="3">(C30+C31+C32)/3</f>
        <v>460</v>
      </c>
      <c r="D40" s="31">
        <f t="shared" si="3"/>
        <v>460</v>
      </c>
      <c r="E40" s="31">
        <f>(E30+E31+E32)/3</f>
        <v>460</v>
      </c>
      <c r="H40" t="s">
        <v>69</v>
      </c>
      <c r="I40" t="s">
        <v>162</v>
      </c>
    </row>
    <row r="41" spans="1:9">
      <c r="A41" s="1" t="s">
        <v>169</v>
      </c>
      <c r="B41" s="40">
        <f t="shared" ref="B41:E41" si="4">B56/B40</f>
        <v>0</v>
      </c>
      <c r="C41" s="40">
        <f t="shared" si="4"/>
        <v>0</v>
      </c>
      <c r="D41" s="40">
        <f t="shared" si="4"/>
        <v>0</v>
      </c>
      <c r="E41" s="40">
        <f t="shared" si="4"/>
        <v>0</v>
      </c>
      <c r="H41" t="s">
        <v>124</v>
      </c>
      <c r="I41" t="s">
        <v>155</v>
      </c>
    </row>
    <row r="42" spans="1:9">
      <c r="A42" s="1" t="s">
        <v>6</v>
      </c>
      <c r="B42" s="31">
        <f>(B33+B34+B35)/3</f>
        <v>38</v>
      </c>
      <c r="C42" s="31">
        <f t="shared" ref="C42:D42" si="5">(C33+C34+C35)/3</f>
        <v>42</v>
      </c>
      <c r="D42" s="31">
        <f t="shared" si="5"/>
        <v>48</v>
      </c>
      <c r="E42" s="31">
        <f>(E33+E34+E35)/3</f>
        <v>51</v>
      </c>
      <c r="H42" s="16" t="s">
        <v>121</v>
      </c>
      <c r="I42" t="s">
        <v>154</v>
      </c>
    </row>
    <row r="43" spans="1:9">
      <c r="A43" s="1" t="s">
        <v>170</v>
      </c>
      <c r="B43" s="40">
        <f t="shared" ref="B43:E43" si="6">B64/B42</f>
        <v>0</v>
      </c>
      <c r="C43" s="40">
        <f t="shared" si="6"/>
        <v>0</v>
      </c>
      <c r="D43" s="40">
        <f t="shared" si="6"/>
        <v>0</v>
      </c>
      <c r="E43" s="40">
        <f t="shared" si="6"/>
        <v>0</v>
      </c>
    </row>
    <row r="44" spans="1:9">
      <c r="A44" s="1" t="s">
        <v>13</v>
      </c>
      <c r="B44" s="28">
        <f>(B15*B25*D6)/3960</f>
        <v>11.070697530936812</v>
      </c>
      <c r="C44" s="28">
        <f>(C15*C25*D6)/3960</f>
        <v>19.898913580827834</v>
      </c>
      <c r="D44" s="28">
        <f>(D15*D25*D6)/3960</f>
        <v>26.181560608021208</v>
      </c>
      <c r="E44" s="28">
        <f>(E15*E25*D6)/3960</f>
        <v>28.605450060764067</v>
      </c>
      <c r="G44" s="1" t="s">
        <v>135</v>
      </c>
    </row>
    <row r="45" spans="1:9">
      <c r="A45" s="1" t="s">
        <v>198</v>
      </c>
      <c r="B45" s="28">
        <f>(1.732*B40*B42*B36*B37)/746</f>
        <v>27.613076332439675</v>
      </c>
      <c r="C45" s="28">
        <f>(1.732*C40*C42*C36*C37)/746</f>
        <v>32.01789130294906</v>
      </c>
      <c r="D45" s="28">
        <f>(1.732*D40*D42*D36*D37)/746</f>
        <v>37.03274174798927</v>
      </c>
      <c r="E45" s="28">
        <f>(1.732*E40*E42*E36*E37)/746</f>
        <v>39.347288107238604</v>
      </c>
    </row>
    <row r="46" spans="1:9">
      <c r="A46" s="1" t="s">
        <v>199</v>
      </c>
      <c r="B46" s="28">
        <f>(B38*B36)/0.746</f>
        <v>27.361930294906166</v>
      </c>
      <c r="C46" s="28">
        <f>(C38*C36)/0.746</f>
        <v>31.709115281501337</v>
      </c>
      <c r="D46" s="28">
        <f>(D38*D36)/0.746</f>
        <v>36.820375335120644</v>
      </c>
      <c r="E46" s="28">
        <f>(E38*E36)/0.746</f>
        <v>39.410187667560322</v>
      </c>
      <c r="G46" s="1" t="s">
        <v>264</v>
      </c>
    </row>
    <row r="47" spans="1:9">
      <c r="A47" s="1" t="s">
        <v>200</v>
      </c>
      <c r="B47" s="32">
        <f>B44/B45</f>
        <v>0.40092228035928845</v>
      </c>
      <c r="C47" s="32">
        <f>C44/C45</f>
        <v>0.62149357034624608</v>
      </c>
      <c r="D47" s="32">
        <f>D44/D45</f>
        <v>0.70698412734840954</v>
      </c>
      <c r="E47" s="32">
        <f>E44/E45</f>
        <v>0.72699927839503653</v>
      </c>
    </row>
    <row r="48" spans="1:9">
      <c r="A48" s="1" t="s">
        <v>201</v>
      </c>
      <c r="B48" s="32">
        <f>B44/B46</f>
        <v>0.4046022123299462</v>
      </c>
      <c r="C48" s="32">
        <f t="shared" ref="C48:E48" si="7">C44/C46</f>
        <v>0.62754553080945108</v>
      </c>
      <c r="D48" s="32">
        <f t="shared" si="7"/>
        <v>0.71106175235123859</v>
      </c>
      <c r="E48" s="32">
        <f t="shared" si="7"/>
        <v>0.7258389709295916</v>
      </c>
    </row>
    <row r="49" spans="1:7" ht="0.2" customHeight="1">
      <c r="A49" s="39" t="s">
        <v>173</v>
      </c>
      <c r="B49" s="38">
        <f>B30-B40</f>
        <v>0</v>
      </c>
      <c r="C49" s="38">
        <f>C30-C40</f>
        <v>0</v>
      </c>
      <c r="D49" s="38">
        <f>D30-D40</f>
        <v>0</v>
      </c>
      <c r="E49" s="38">
        <f>E30-E40</f>
        <v>0</v>
      </c>
    </row>
    <row r="50" spans="1:7" ht="0.2" customHeight="1">
      <c r="B50" s="38">
        <f>B31-B40</f>
        <v>0</v>
      </c>
      <c r="C50" s="38">
        <f>C31-C40</f>
        <v>0</v>
      </c>
      <c r="D50" s="38">
        <f>D31-D40</f>
        <v>0</v>
      </c>
      <c r="E50" s="38">
        <f>E31-E40</f>
        <v>0</v>
      </c>
    </row>
    <row r="51" spans="1:7" ht="0.2" customHeight="1">
      <c r="B51" s="38">
        <f>B32-B40</f>
        <v>0</v>
      </c>
      <c r="C51" s="38">
        <f>C32-C40</f>
        <v>0</v>
      </c>
      <c r="D51" s="38">
        <f>D32-D40</f>
        <v>0</v>
      </c>
      <c r="E51" s="38">
        <f>E32-E40</f>
        <v>0</v>
      </c>
    </row>
    <row r="52" spans="1:7" ht="0.2" customHeight="1">
      <c r="A52" t="s">
        <v>171</v>
      </c>
      <c r="B52" s="38">
        <f>IF(B49&lt;0,B49*-1,B49)</f>
        <v>0</v>
      </c>
      <c r="C52" s="38">
        <f t="shared" ref="C52:E52" si="8">IF(C49&lt;0,C49*-1,C49)</f>
        <v>0</v>
      </c>
      <c r="D52" s="38">
        <f t="shared" si="8"/>
        <v>0</v>
      </c>
      <c r="E52" s="38">
        <f t="shared" si="8"/>
        <v>0</v>
      </c>
    </row>
    <row r="53" spans="1:7" ht="0.2" customHeight="1">
      <c r="B53" s="38">
        <f>IF(B50&lt;0,B50*-1,B50)</f>
        <v>0</v>
      </c>
      <c r="C53" s="38">
        <f t="shared" ref="C53:E53" si="9">IF(C50&lt;0,C50*-1,C50)</f>
        <v>0</v>
      </c>
      <c r="D53" s="38">
        <f t="shared" si="9"/>
        <v>0</v>
      </c>
      <c r="E53" s="38">
        <f t="shared" si="9"/>
        <v>0</v>
      </c>
      <c r="F53" s="38"/>
      <c r="G53" s="38"/>
    </row>
    <row r="54" spans="1:7" ht="0.2" customHeight="1">
      <c r="B54" s="38">
        <f>IF(B51&lt;0,B51*-1,B51)</f>
        <v>0</v>
      </c>
      <c r="C54" s="38">
        <f t="shared" ref="C54:E54" si="10">IF(C51&lt;0,C51*-1,C51)</f>
        <v>0</v>
      </c>
      <c r="D54" s="38">
        <f t="shared" si="10"/>
        <v>0</v>
      </c>
      <c r="E54" s="38">
        <f t="shared" si="10"/>
        <v>0</v>
      </c>
      <c r="F54" s="38"/>
      <c r="G54" s="38"/>
    </row>
    <row r="55" spans="1:7" ht="0.2" customHeight="1">
      <c r="A55" t="s">
        <v>172</v>
      </c>
      <c r="B55" s="38">
        <f>IF(B52&lt;B53,B53,B52)</f>
        <v>0</v>
      </c>
      <c r="C55" s="38">
        <f>IF(C52&lt;C53,C53,C52)</f>
        <v>0</v>
      </c>
      <c r="D55" s="38">
        <f>IF(D52&lt;D53,D53,D52)</f>
        <v>0</v>
      </c>
      <c r="E55" s="38">
        <f>IF(E52&lt;E53,E53,E52)</f>
        <v>0</v>
      </c>
      <c r="F55" s="38"/>
      <c r="G55" s="38"/>
    </row>
    <row r="56" spans="1:7" ht="0.2" customHeight="1">
      <c r="B56" s="38">
        <f>IF(B54&lt;B55,B55,B54)</f>
        <v>0</v>
      </c>
      <c r="C56" s="38">
        <f>IF(C54&lt;C55,C55,C54)</f>
        <v>0</v>
      </c>
      <c r="D56" s="38">
        <f>IF(D54&lt;D55,D55,D54)</f>
        <v>0</v>
      </c>
      <c r="E56" s="38">
        <f>IF(E54&lt;E55,E55,E54)</f>
        <v>0</v>
      </c>
      <c r="F56" s="38"/>
      <c r="G56" s="38"/>
    </row>
    <row r="57" spans="1:7" ht="0.2" customHeight="1">
      <c r="A57" t="s">
        <v>174</v>
      </c>
      <c r="B57" s="38">
        <f>B33-B42</f>
        <v>0</v>
      </c>
      <c r="C57" s="38">
        <f>C33-C42</f>
        <v>0</v>
      </c>
      <c r="D57" s="38">
        <f>D33-D42</f>
        <v>0</v>
      </c>
      <c r="E57" s="38">
        <f>E33-E42</f>
        <v>0</v>
      </c>
      <c r="F57" s="38"/>
      <c r="G57" s="38"/>
    </row>
    <row r="58" spans="1:7" ht="0.2" customHeight="1">
      <c r="B58" s="38">
        <f>B34-B42</f>
        <v>0</v>
      </c>
      <c r="C58" s="38">
        <f>C34-C42</f>
        <v>0</v>
      </c>
      <c r="D58" s="38">
        <f>D34-D42</f>
        <v>0</v>
      </c>
      <c r="E58" s="38">
        <f>E34-E42</f>
        <v>0</v>
      </c>
      <c r="F58" s="38"/>
      <c r="G58" s="38"/>
    </row>
    <row r="59" spans="1:7" ht="0.2" customHeight="1">
      <c r="B59" s="38">
        <f>B35-B42</f>
        <v>0</v>
      </c>
      <c r="C59" s="38">
        <f>C35-C42</f>
        <v>0</v>
      </c>
      <c r="D59" s="38">
        <f>D35-D42</f>
        <v>0</v>
      </c>
      <c r="E59" s="38">
        <f>E35-E42</f>
        <v>0</v>
      </c>
      <c r="F59" s="38"/>
      <c r="G59" s="38"/>
    </row>
    <row r="60" spans="1:7" ht="0.2" customHeight="1">
      <c r="A60" t="s">
        <v>171</v>
      </c>
      <c r="B60" s="38">
        <f t="shared" ref="B60:E62" si="11">IF(B57&lt;0,B57*-1,B57)</f>
        <v>0</v>
      </c>
      <c r="C60" s="38">
        <f t="shared" si="11"/>
        <v>0</v>
      </c>
      <c r="D60" s="38">
        <f t="shared" si="11"/>
        <v>0</v>
      </c>
      <c r="E60" s="38">
        <f t="shared" si="11"/>
        <v>0</v>
      </c>
      <c r="F60" s="38"/>
      <c r="G60" s="38"/>
    </row>
    <row r="61" spans="1:7" ht="0.2" customHeight="1">
      <c r="B61" s="38">
        <f t="shared" si="11"/>
        <v>0</v>
      </c>
      <c r="C61" s="38">
        <f t="shared" si="11"/>
        <v>0</v>
      </c>
      <c r="D61" s="38">
        <f t="shared" si="11"/>
        <v>0</v>
      </c>
      <c r="E61" s="38">
        <f t="shared" si="11"/>
        <v>0</v>
      </c>
      <c r="F61" s="38"/>
      <c r="G61" s="38"/>
    </row>
    <row r="62" spans="1:7" ht="0.2" customHeight="1">
      <c r="B62" s="38">
        <f t="shared" si="11"/>
        <v>0</v>
      </c>
      <c r="C62" s="38">
        <f t="shared" si="11"/>
        <v>0</v>
      </c>
      <c r="D62" s="38">
        <f t="shared" si="11"/>
        <v>0</v>
      </c>
      <c r="E62" s="38">
        <f t="shared" si="11"/>
        <v>0</v>
      </c>
      <c r="F62" s="38"/>
      <c r="G62" s="38"/>
    </row>
    <row r="63" spans="1:7" ht="0.2" customHeight="1">
      <c r="A63" t="s">
        <v>172</v>
      </c>
      <c r="B63" s="38">
        <f>IF(B60&lt;B61,B61,B60)</f>
        <v>0</v>
      </c>
      <c r="C63" s="38">
        <f t="shared" ref="C63" si="12">IF(C60&lt;C61,C61,C60)</f>
        <v>0</v>
      </c>
      <c r="D63" s="38">
        <f>IF(D60&lt;D61,D61,D60)</f>
        <v>0</v>
      </c>
      <c r="E63" s="38">
        <f>IF(E60&lt;E61,E61,E60)</f>
        <v>0</v>
      </c>
      <c r="F63" s="38"/>
      <c r="G63" s="38"/>
    </row>
    <row r="64" spans="1:7" ht="0.2" customHeight="1">
      <c r="B64" s="38">
        <f>IF(B62&lt;B63,B63,B62)</f>
        <v>0</v>
      </c>
      <c r="C64" s="38">
        <f t="shared" ref="C64" si="13">IF(C62&lt;C63,C63,C62)</f>
        <v>0</v>
      </c>
      <c r="D64" s="38">
        <f>IF(D62&lt;D63,D63,D62)</f>
        <v>0</v>
      </c>
      <c r="E64" s="38">
        <f>IF(E62&lt;E63,E63,E62)</f>
        <v>0</v>
      </c>
      <c r="F64" s="38"/>
      <c r="G64" s="38"/>
    </row>
    <row r="65" spans="1:7">
      <c r="A65" s="1" t="s">
        <v>262</v>
      </c>
      <c r="B65" s="67">
        <f>(0.189*B39*B25)/(B47*B36*60)</f>
        <v>0.11694137826788205</v>
      </c>
      <c r="C65" s="67">
        <f t="shared" ref="C65:E65" si="14">(0.189*C39*C25)/(C47*C36*60)</f>
        <v>6.6164200862091155E-2</v>
      </c>
      <c r="D65" s="67">
        <f t="shared" si="14"/>
        <v>5.0410819704450389E-2</v>
      </c>
      <c r="E65" s="67">
        <f t="shared" si="14"/>
        <v>4.0171121951983906E-2</v>
      </c>
      <c r="F65" s="38"/>
    </row>
    <row r="66" spans="1:7">
      <c r="A66" s="1" t="s">
        <v>263</v>
      </c>
      <c r="B66" s="67">
        <f>(0.189*B39*B25)/(B48*B36*60)</f>
        <v>0.11587777479892762</v>
      </c>
      <c r="C66" s="67">
        <f t="shared" ref="C66:E66" si="15">(0.189*C39*C25)/(C48*C36*60)</f>
        <v>6.5526122654155486E-2</v>
      </c>
      <c r="D66" s="67">
        <f t="shared" si="15"/>
        <v>5.0121735924932971E-2</v>
      </c>
      <c r="E66" s="67">
        <f t="shared" si="15"/>
        <v>4.0235338471849867E-2</v>
      </c>
      <c r="F66" s="38"/>
      <c r="G66" s="5" t="s">
        <v>71</v>
      </c>
    </row>
    <row r="67" spans="1:7">
      <c r="F67" s="38"/>
      <c r="G67" s="38"/>
    </row>
    <row r="68" spans="1:7">
      <c r="B68" s="1"/>
      <c r="F68" s="38"/>
    </row>
    <row r="75" spans="1:7" ht="23.25">
      <c r="A75" s="18" t="s">
        <v>79</v>
      </c>
    </row>
    <row r="76" spans="1:7" ht="15" customHeight="1"/>
    <row r="77" spans="1:7">
      <c r="A77" s="1" t="s">
        <v>83</v>
      </c>
    </row>
    <row r="96" spans="1:1">
      <c r="A96" s="1"/>
    </row>
    <row r="116" spans="1:7">
      <c r="A116" s="5" t="s">
        <v>80</v>
      </c>
    </row>
    <row r="117" spans="1:7">
      <c r="C117" t="s">
        <v>81</v>
      </c>
      <c r="G117" t="s">
        <v>82</v>
      </c>
    </row>
  </sheetData>
  <pageMargins left="0.7" right="0.7" top="0.75" bottom="0.75" header="0.3" footer="0.3"/>
  <pageSetup scale="75" orientation="landscape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7"/>
  <sheetViews>
    <sheetView showGridLines="0" zoomScaleNormal="100" workbookViewId="0">
      <selection activeCell="N3" sqref="N3"/>
    </sheetView>
  </sheetViews>
  <sheetFormatPr defaultRowHeight="15"/>
  <cols>
    <col min="1" max="1" width="30.7109375" customWidth="1"/>
    <col min="2" max="5" width="18.7109375" customWidth="1"/>
    <col min="6" max="6" width="18.7109375" hidden="1" customWidth="1"/>
    <col min="7" max="7" width="5.7109375" customWidth="1"/>
    <col min="9" max="9" width="5.7109375" customWidth="1"/>
  </cols>
  <sheetData>
    <row r="1" spans="1:13" ht="23.25">
      <c r="A1" s="2" t="s">
        <v>185</v>
      </c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48</v>
      </c>
      <c r="B3" s="74" t="s">
        <v>177</v>
      </c>
      <c r="C3" s="75"/>
      <c r="D3" s="75"/>
      <c r="E3" s="76"/>
      <c r="F3" s="96"/>
      <c r="G3" s="1"/>
      <c r="H3" s="5" t="s">
        <v>46</v>
      </c>
      <c r="I3" s="5" t="s">
        <v>56</v>
      </c>
      <c r="J3" s="5"/>
      <c r="K3" s="5"/>
      <c r="L3" s="5"/>
      <c r="M3" s="1"/>
    </row>
    <row r="4" spans="1:13">
      <c r="A4" s="1" t="s">
        <v>84</v>
      </c>
      <c r="B4" s="74" t="s">
        <v>203</v>
      </c>
      <c r="C4" s="75"/>
      <c r="D4" s="75"/>
      <c r="E4" s="76"/>
      <c r="F4" s="96"/>
      <c r="G4" s="97"/>
      <c r="H4" s="98"/>
      <c r="I4" s="1" t="s">
        <v>178</v>
      </c>
      <c r="J4" s="1"/>
      <c r="K4" s="99"/>
      <c r="L4" s="1" t="s">
        <v>179</v>
      </c>
      <c r="M4" s="1"/>
    </row>
    <row r="5" spans="1:13">
      <c r="A5" s="1" t="s">
        <v>7</v>
      </c>
      <c r="B5" s="79">
        <v>41499</v>
      </c>
      <c r="C5" s="52" t="s">
        <v>10</v>
      </c>
      <c r="D5" s="74" t="s">
        <v>244</v>
      </c>
      <c r="E5" s="76"/>
      <c r="F5" s="96"/>
      <c r="G5" s="1"/>
      <c r="H5" s="1"/>
      <c r="I5" s="1"/>
      <c r="J5" s="1"/>
      <c r="K5" s="1"/>
      <c r="L5" s="1"/>
      <c r="M5" s="1"/>
    </row>
    <row r="6" spans="1:13">
      <c r="A6" s="1" t="s">
        <v>0</v>
      </c>
      <c r="B6" s="81">
        <v>123456</v>
      </c>
      <c r="C6" s="52" t="s">
        <v>157</v>
      </c>
      <c r="D6" s="100">
        <v>1</v>
      </c>
      <c r="E6" s="84" t="s">
        <v>175</v>
      </c>
      <c r="F6" s="101"/>
      <c r="G6" s="1"/>
      <c r="H6" s="5" t="s">
        <v>97</v>
      </c>
      <c r="I6" s="1"/>
      <c r="J6" s="1"/>
      <c r="K6" s="1"/>
      <c r="L6" s="1"/>
      <c r="M6" s="1"/>
    </row>
    <row r="7" spans="1:13">
      <c r="A7" s="1" t="s">
        <v>1</v>
      </c>
      <c r="B7" s="81">
        <v>654321</v>
      </c>
      <c r="C7" s="52" t="s">
        <v>98</v>
      </c>
      <c r="D7" s="74" t="s">
        <v>186</v>
      </c>
      <c r="E7" s="76"/>
      <c r="F7" s="96"/>
      <c r="G7" s="1"/>
      <c r="H7" s="1" t="s">
        <v>180</v>
      </c>
      <c r="I7" s="1"/>
      <c r="J7" s="1"/>
      <c r="K7" s="1"/>
      <c r="L7" s="1"/>
      <c r="M7" s="1"/>
    </row>
    <row r="8" spans="1:13">
      <c r="A8" s="1" t="s">
        <v>2</v>
      </c>
      <c r="B8" s="102">
        <v>0.375</v>
      </c>
      <c r="C8" s="103"/>
      <c r="D8" s="104"/>
      <c r="E8" s="105"/>
      <c r="F8" s="106"/>
      <c r="G8" s="1"/>
      <c r="H8" s="1" t="s">
        <v>26</v>
      </c>
      <c r="I8" s="1" t="s">
        <v>30</v>
      </c>
      <c r="J8" s="1" t="s">
        <v>142</v>
      </c>
      <c r="K8" s="1"/>
      <c r="L8" s="1"/>
      <c r="M8" s="1"/>
    </row>
    <row r="9" spans="1:13">
      <c r="A9" s="1" t="s">
        <v>34</v>
      </c>
      <c r="B9" s="84" t="s">
        <v>176</v>
      </c>
      <c r="C9" s="107"/>
      <c r="D9" s="108"/>
      <c r="E9" s="109"/>
      <c r="F9" s="101"/>
      <c r="G9" s="1"/>
      <c r="H9" s="1"/>
      <c r="I9" s="1" t="s">
        <v>39</v>
      </c>
      <c r="J9" s="1" t="s">
        <v>28</v>
      </c>
      <c r="K9" s="1"/>
      <c r="L9" s="1"/>
      <c r="M9" s="1"/>
    </row>
    <row r="10" spans="1:13">
      <c r="A10" s="1" t="s">
        <v>95</v>
      </c>
      <c r="B10" s="110"/>
      <c r="C10" s="111"/>
      <c r="D10" s="112"/>
      <c r="E10" s="113"/>
      <c r="F10" s="101"/>
      <c r="G10" s="1"/>
      <c r="H10" s="1"/>
      <c r="I10" s="1"/>
      <c r="J10" s="1" t="s">
        <v>40</v>
      </c>
      <c r="K10" s="1"/>
      <c r="L10" s="1"/>
      <c r="M10" s="1"/>
    </row>
    <row r="11" spans="1:13">
      <c r="A11" s="1"/>
      <c r="B11" s="114"/>
      <c r="C11" s="115"/>
      <c r="D11" s="115"/>
      <c r="E11" s="115"/>
      <c r="F11" s="116"/>
      <c r="G11" s="1"/>
      <c r="H11" s="1"/>
      <c r="I11" s="1" t="s">
        <v>41</v>
      </c>
      <c r="J11" s="1" t="s">
        <v>42</v>
      </c>
      <c r="K11" s="1"/>
      <c r="L11" s="1"/>
      <c r="M11" s="1"/>
    </row>
    <row r="12" spans="1:13">
      <c r="A12" s="62"/>
      <c r="B12" s="64" t="s">
        <v>232</v>
      </c>
      <c r="C12" s="11"/>
      <c r="D12" s="11"/>
      <c r="E12" s="11"/>
      <c r="F12" s="11" t="s">
        <v>195</v>
      </c>
      <c r="G12" s="1"/>
      <c r="H12" s="1"/>
      <c r="I12" s="1"/>
      <c r="J12" s="1" t="s">
        <v>43</v>
      </c>
      <c r="K12" s="1"/>
      <c r="L12" s="1"/>
      <c r="M12" s="1"/>
    </row>
    <row r="13" spans="1:13">
      <c r="A13" s="1"/>
      <c r="B13" s="11"/>
      <c r="C13" s="11"/>
      <c r="D13" s="11"/>
      <c r="E13" s="11"/>
      <c r="F13" s="11" t="s">
        <v>196</v>
      </c>
      <c r="G13" s="1"/>
      <c r="H13" s="1"/>
      <c r="I13" s="1" t="s">
        <v>27</v>
      </c>
      <c r="J13" s="1" t="s">
        <v>115</v>
      </c>
      <c r="K13" s="1"/>
      <c r="L13" s="1"/>
      <c r="M13" s="1"/>
    </row>
    <row r="14" spans="1:13" ht="15" customHeight="1">
      <c r="A14" s="1" t="s">
        <v>192</v>
      </c>
      <c r="B14" s="11"/>
      <c r="C14" s="11"/>
      <c r="D14" s="46" t="s">
        <v>257</v>
      </c>
      <c r="E14" s="11"/>
      <c r="F14" s="11" t="s">
        <v>196</v>
      </c>
      <c r="G14" s="1"/>
      <c r="H14" s="1"/>
      <c r="I14" s="1" t="s">
        <v>33</v>
      </c>
      <c r="J14" s="1" t="s">
        <v>181</v>
      </c>
      <c r="K14" s="1"/>
      <c r="L14" s="1"/>
      <c r="M14" s="1"/>
    </row>
    <row r="15" spans="1:13">
      <c r="A15" s="1"/>
      <c r="B15" s="43"/>
      <c r="C15" s="39"/>
      <c r="D15" s="39"/>
      <c r="E15" s="43"/>
      <c r="F15" s="117" t="s">
        <v>197</v>
      </c>
      <c r="G15" s="1"/>
      <c r="H15" s="1"/>
      <c r="I15" s="1"/>
      <c r="J15" s="1"/>
      <c r="K15" s="1"/>
      <c r="L15" s="1"/>
      <c r="M15" s="1"/>
    </row>
    <row r="16" spans="1:13" ht="15" customHeight="1">
      <c r="A16" s="1" t="s">
        <v>18</v>
      </c>
      <c r="B16" s="72">
        <v>10</v>
      </c>
      <c r="C16" s="43"/>
      <c r="D16" s="43" t="s">
        <v>187</v>
      </c>
      <c r="E16" s="72">
        <v>144</v>
      </c>
      <c r="F16" s="118">
        <f>E16/12</f>
        <v>12</v>
      </c>
      <c r="G16" s="1"/>
      <c r="H16" s="1" t="s">
        <v>73</v>
      </c>
      <c r="I16" s="1"/>
      <c r="J16" s="1"/>
      <c r="K16" s="1"/>
      <c r="L16" s="1"/>
      <c r="M16" s="1"/>
    </row>
    <row r="17" spans="1:13">
      <c r="A17" s="1" t="s">
        <v>11</v>
      </c>
      <c r="B17" s="72">
        <v>51</v>
      </c>
      <c r="C17" s="44"/>
      <c r="D17" s="44" t="s">
        <v>188</v>
      </c>
      <c r="E17" s="72">
        <v>12</v>
      </c>
      <c r="F17" s="118">
        <f>E17/12</f>
        <v>1</v>
      </c>
      <c r="G17" s="1"/>
      <c r="H17" s="1" t="s">
        <v>26</v>
      </c>
      <c r="I17" s="1" t="s">
        <v>68</v>
      </c>
      <c r="J17" s="1" t="s">
        <v>161</v>
      </c>
      <c r="K17" s="1"/>
      <c r="L17" s="1"/>
      <c r="M17" s="1"/>
    </row>
    <row r="18" spans="1:13">
      <c r="A18" s="1" t="s">
        <v>141</v>
      </c>
      <c r="B18" s="72">
        <v>5</v>
      </c>
      <c r="C18" s="44"/>
      <c r="D18" s="44" t="s">
        <v>189</v>
      </c>
      <c r="E18" s="72">
        <v>32</v>
      </c>
      <c r="F18" s="118">
        <f>E18/60</f>
        <v>0.53333333333333333</v>
      </c>
      <c r="G18" s="1"/>
      <c r="H18" s="1"/>
      <c r="I18" s="1" t="s">
        <v>276</v>
      </c>
      <c r="J18" s="1"/>
      <c r="K18" s="1"/>
      <c r="L18" s="1"/>
      <c r="M18" s="1"/>
    </row>
    <row r="19" spans="1:13">
      <c r="A19" s="1" t="s">
        <v>229</v>
      </c>
      <c r="B19" s="72">
        <v>18</v>
      </c>
      <c r="C19" s="44"/>
      <c r="D19" s="44" t="s">
        <v>190</v>
      </c>
      <c r="E19" s="73">
        <f>(((F16/2)^2*3.14)*7.48)</f>
        <v>845.53920000000005</v>
      </c>
      <c r="F19" s="119" t="s">
        <v>195</v>
      </c>
      <c r="G19" s="1"/>
      <c r="H19" s="1"/>
      <c r="I19" s="1"/>
      <c r="J19" s="1"/>
      <c r="K19" s="1"/>
      <c r="L19" s="1"/>
      <c r="M19" s="1"/>
    </row>
    <row r="20" spans="1:13">
      <c r="A20" s="1" t="s">
        <v>23</v>
      </c>
      <c r="B20" s="72">
        <v>6</v>
      </c>
      <c r="C20" s="44"/>
      <c r="D20" s="44" t="s">
        <v>191</v>
      </c>
      <c r="E20" s="73">
        <f>E19*F17</f>
        <v>845.53920000000005</v>
      </c>
      <c r="F20" s="119" t="s">
        <v>196</v>
      </c>
      <c r="G20" s="1"/>
      <c r="H20" s="1"/>
      <c r="I20" s="1" t="s">
        <v>118</v>
      </c>
      <c r="J20" s="1"/>
      <c r="K20" s="1"/>
      <c r="L20" s="1"/>
      <c r="M20" s="1"/>
    </row>
    <row r="21" spans="1:13">
      <c r="A21" s="1" t="s">
        <v>12</v>
      </c>
      <c r="B21" s="73">
        <f>(E25*0.4085)/(B20*B20)</f>
        <v>17.989727250000001</v>
      </c>
      <c r="C21" s="45"/>
      <c r="D21" s="45" t="s">
        <v>267</v>
      </c>
      <c r="E21" s="73">
        <f>E20/F18</f>
        <v>1585.3860000000002</v>
      </c>
      <c r="F21" s="119" t="s">
        <v>197</v>
      </c>
      <c r="G21" s="1"/>
      <c r="H21" s="1"/>
      <c r="I21" s="1"/>
      <c r="J21" s="1"/>
      <c r="K21" s="1"/>
      <c r="L21" s="1"/>
      <c r="M21" s="1"/>
    </row>
    <row r="22" spans="1:13" ht="15" customHeight="1">
      <c r="A22" s="1" t="s">
        <v>182</v>
      </c>
      <c r="B22" s="73">
        <f>(B21*B21)/64.4</f>
        <v>5.0253150082203817</v>
      </c>
      <c r="C22" s="45"/>
      <c r="D22" s="44" t="s">
        <v>266</v>
      </c>
      <c r="E22" s="120">
        <v>0</v>
      </c>
      <c r="F22" s="121">
        <f>E22/12</f>
        <v>0</v>
      </c>
      <c r="G22" s="1"/>
      <c r="H22" s="1" t="s">
        <v>110</v>
      </c>
      <c r="I22" s="1"/>
      <c r="J22" s="1"/>
      <c r="K22" s="1"/>
      <c r="L22" s="1"/>
      <c r="M22" s="1"/>
    </row>
    <row r="23" spans="1:13" ht="15" customHeight="1">
      <c r="A23" s="1" t="s">
        <v>15</v>
      </c>
      <c r="B23" s="73">
        <f>(E25*0.4085)/(B19*B19)</f>
        <v>1.9988585833333332</v>
      </c>
      <c r="C23" s="45"/>
      <c r="D23" s="44" t="s">
        <v>265</v>
      </c>
      <c r="E23" s="120">
        <v>0</v>
      </c>
      <c r="F23" s="121">
        <f>E23/60</f>
        <v>0</v>
      </c>
      <c r="G23" s="1"/>
      <c r="H23" s="1" t="s">
        <v>26</v>
      </c>
      <c r="I23" s="1" t="s">
        <v>74</v>
      </c>
      <c r="J23" s="1" t="s">
        <v>75</v>
      </c>
      <c r="K23" s="1"/>
      <c r="L23" s="1"/>
      <c r="M23" s="1"/>
    </row>
    <row r="24" spans="1:13" ht="15" customHeight="1">
      <c r="A24" s="1" t="s">
        <v>183</v>
      </c>
      <c r="B24" s="73">
        <f>(B23*B23)/64.4</f>
        <v>6.2040926027412104E-2</v>
      </c>
      <c r="C24" s="45"/>
      <c r="D24" s="69" t="s">
        <v>268</v>
      </c>
      <c r="E24" s="73">
        <f>E19*F22</f>
        <v>0</v>
      </c>
      <c r="F24" s="119" t="s">
        <v>280</v>
      </c>
      <c r="G24" s="1"/>
      <c r="H24" s="1"/>
      <c r="I24" s="1" t="s">
        <v>76</v>
      </c>
      <c r="J24" s="1" t="s">
        <v>77</v>
      </c>
      <c r="K24" s="1"/>
      <c r="L24" s="1"/>
      <c r="M24" s="1"/>
    </row>
    <row r="25" spans="1:13">
      <c r="A25" s="1" t="s">
        <v>4</v>
      </c>
      <c r="B25" s="73">
        <f>B17+B16+B18+B22-B24</f>
        <v>70.963274082192981</v>
      </c>
      <c r="C25" s="45"/>
      <c r="D25" s="45" t="s">
        <v>279</v>
      </c>
      <c r="E25" s="73">
        <f>IF(E22=0,E21,F25)</f>
        <v>1585.3860000000002</v>
      </c>
      <c r="F25" s="45" t="e">
        <f>E24/F23+E21</f>
        <v>#DIV/0!</v>
      </c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</row>
    <row r="28" spans="1:13">
      <c r="A28" s="1" t="s">
        <v>49</v>
      </c>
      <c r="B28" s="47" t="s">
        <v>193</v>
      </c>
      <c r="C28" s="47" t="s">
        <v>194</v>
      </c>
      <c r="H28" s="1" t="s">
        <v>67</v>
      </c>
    </row>
    <row r="29" spans="1:13">
      <c r="A29" s="1"/>
      <c r="H29" s="1" t="s">
        <v>241</v>
      </c>
    </row>
    <row r="30" spans="1:13">
      <c r="A30" s="1" t="s">
        <v>50</v>
      </c>
      <c r="B30" s="29">
        <v>460</v>
      </c>
      <c r="C30" s="29">
        <v>460</v>
      </c>
      <c r="D30" s="48"/>
      <c r="E30" s="48"/>
      <c r="F30" s="48"/>
      <c r="H30" t="s">
        <v>26</v>
      </c>
      <c r="I30" t="s">
        <v>57</v>
      </c>
      <c r="J30" t="s">
        <v>61</v>
      </c>
    </row>
    <row r="31" spans="1:13">
      <c r="A31" s="1" t="s">
        <v>51</v>
      </c>
      <c r="B31" s="29">
        <v>460</v>
      </c>
      <c r="C31" s="29">
        <v>460</v>
      </c>
      <c r="D31" s="48"/>
      <c r="E31" s="48"/>
      <c r="F31" s="48"/>
      <c r="I31" t="s">
        <v>58</v>
      </c>
      <c r="J31" t="s">
        <v>62</v>
      </c>
    </row>
    <row r="32" spans="1:13">
      <c r="A32" s="1" t="s">
        <v>55</v>
      </c>
      <c r="B32" s="29">
        <v>460</v>
      </c>
      <c r="C32" s="29">
        <v>460</v>
      </c>
      <c r="D32" s="48"/>
      <c r="E32" s="48"/>
      <c r="F32" s="48"/>
      <c r="I32" t="s">
        <v>59</v>
      </c>
      <c r="J32" t="s">
        <v>63</v>
      </c>
    </row>
    <row r="33" spans="1:10">
      <c r="A33" s="1" t="s">
        <v>92</v>
      </c>
      <c r="B33" s="29">
        <v>52.5</v>
      </c>
      <c r="C33" s="58"/>
      <c r="D33" s="48"/>
      <c r="E33" s="48"/>
      <c r="F33" s="48"/>
      <c r="I33" t="s">
        <v>60</v>
      </c>
      <c r="J33" t="s">
        <v>64</v>
      </c>
    </row>
    <row r="34" spans="1:10">
      <c r="A34" s="1" t="s">
        <v>93</v>
      </c>
      <c r="B34" s="29">
        <v>52.5</v>
      </c>
      <c r="C34" s="59"/>
      <c r="D34" s="48"/>
      <c r="E34" s="48"/>
      <c r="F34" s="48"/>
      <c r="I34" s="16">
        <v>1.732</v>
      </c>
      <c r="J34" s="35" t="s">
        <v>277</v>
      </c>
    </row>
    <row r="35" spans="1:10">
      <c r="A35" s="1" t="s">
        <v>94</v>
      </c>
      <c r="B35" s="29">
        <v>52.5</v>
      </c>
      <c r="C35" s="59"/>
      <c r="D35" s="48"/>
      <c r="E35" s="48"/>
      <c r="F35" s="48"/>
      <c r="I35" s="16" t="s">
        <v>122</v>
      </c>
      <c r="J35" t="s">
        <v>66</v>
      </c>
    </row>
    <row r="36" spans="1:10">
      <c r="A36" s="1" t="s">
        <v>228</v>
      </c>
      <c r="B36" s="30">
        <v>0.87</v>
      </c>
      <c r="C36" s="49"/>
      <c r="D36" s="49"/>
      <c r="E36" s="49"/>
      <c r="F36" s="49"/>
      <c r="I36" t="s">
        <v>151</v>
      </c>
      <c r="J36" t="s">
        <v>153</v>
      </c>
    </row>
    <row r="37" spans="1:10">
      <c r="A37" s="1" t="s">
        <v>227</v>
      </c>
      <c r="B37" s="30">
        <v>0.81</v>
      </c>
      <c r="C37" s="49"/>
      <c r="D37" s="49"/>
      <c r="E37" s="49"/>
      <c r="F37" s="49"/>
    </row>
    <row r="38" spans="1:10">
      <c r="A38" s="1" t="s">
        <v>256</v>
      </c>
      <c r="B38" s="27">
        <v>34.200000000000003</v>
      </c>
      <c r="C38" s="42"/>
      <c r="D38" s="42"/>
      <c r="E38" s="42"/>
      <c r="F38" s="42"/>
      <c r="H38" s="1" t="s">
        <v>120</v>
      </c>
    </row>
    <row r="39" spans="1:10">
      <c r="A39" s="1" t="s">
        <v>261</v>
      </c>
      <c r="B39" s="66">
        <v>0.11</v>
      </c>
      <c r="C39" s="42"/>
      <c r="D39" s="42"/>
      <c r="E39" s="42"/>
      <c r="F39" s="42"/>
      <c r="H39" t="s">
        <v>26</v>
      </c>
      <c r="I39" t="s">
        <v>68</v>
      </c>
      <c r="J39" t="s">
        <v>161</v>
      </c>
    </row>
    <row r="40" spans="1:10">
      <c r="A40" s="1" t="s">
        <v>5</v>
      </c>
      <c r="B40" s="31">
        <f>(B30+B31+B32)/3</f>
        <v>460</v>
      </c>
      <c r="C40" s="31">
        <f t="shared" ref="C40" si="0">(C30+C31+C32)/3</f>
        <v>460</v>
      </c>
      <c r="D40" s="42"/>
      <c r="E40" s="42"/>
      <c r="F40" s="42"/>
      <c r="I40" t="s">
        <v>69</v>
      </c>
      <c r="J40" t="s">
        <v>126</v>
      </c>
    </row>
    <row r="41" spans="1:10">
      <c r="A41" s="1" t="s">
        <v>169</v>
      </c>
      <c r="B41" s="40">
        <f>B56/B40</f>
        <v>0</v>
      </c>
      <c r="C41" s="40">
        <f>C56/C40</f>
        <v>0</v>
      </c>
      <c r="D41" s="49"/>
      <c r="E41" s="49"/>
      <c r="F41" s="49"/>
      <c r="I41" t="s">
        <v>124</v>
      </c>
      <c r="J41" t="s">
        <v>125</v>
      </c>
    </row>
    <row r="42" spans="1:10">
      <c r="A42" s="1" t="s">
        <v>6</v>
      </c>
      <c r="B42" s="31">
        <f>(B33+B34+B35)/3</f>
        <v>52.5</v>
      </c>
      <c r="C42" s="60"/>
      <c r="D42" s="42"/>
      <c r="E42" s="42"/>
      <c r="F42" s="42"/>
      <c r="I42" s="16" t="s">
        <v>121</v>
      </c>
      <c r="J42" t="s">
        <v>70</v>
      </c>
    </row>
    <row r="43" spans="1:10">
      <c r="A43" s="1" t="s">
        <v>170</v>
      </c>
      <c r="B43" s="40">
        <f>B64/B42</f>
        <v>0</v>
      </c>
      <c r="C43" s="61"/>
      <c r="D43" s="49"/>
      <c r="E43" s="49"/>
      <c r="F43" s="49"/>
      <c r="I43" s="16"/>
    </row>
    <row r="44" spans="1:10">
      <c r="A44" s="1" t="s">
        <v>13</v>
      </c>
      <c r="B44" s="28">
        <f>(E25*B25*D6)/3960</f>
        <v>28.410146778805963</v>
      </c>
      <c r="C44" s="49"/>
      <c r="D44" s="49"/>
      <c r="E44" s="49"/>
      <c r="F44" s="49"/>
      <c r="H44" s="1" t="s">
        <v>135</v>
      </c>
    </row>
    <row r="45" spans="1:10">
      <c r="A45" s="1" t="s">
        <v>198</v>
      </c>
      <c r="B45" s="28">
        <f>(1.732*B40*B42*B36*B37)/746</f>
        <v>39.51213225201073</v>
      </c>
      <c r="C45" s="41"/>
      <c r="D45" s="41"/>
      <c r="E45" s="41"/>
      <c r="F45" s="41"/>
    </row>
    <row r="46" spans="1:10">
      <c r="A46" s="1" t="s">
        <v>199</v>
      </c>
      <c r="B46" s="28">
        <f>(B38*B36)/0.746</f>
        <v>39.884718498659517</v>
      </c>
      <c r="C46" s="41"/>
      <c r="D46" s="41"/>
      <c r="E46" s="41"/>
      <c r="F46" s="41"/>
      <c r="H46" s="1" t="s">
        <v>264</v>
      </c>
    </row>
    <row r="47" spans="1:10">
      <c r="A47" s="1" t="s">
        <v>200</v>
      </c>
      <c r="B47" s="32">
        <f>B44/B45</f>
        <v>0.71902337736683908</v>
      </c>
      <c r="C47" s="50"/>
      <c r="D47" s="50"/>
      <c r="E47" s="50"/>
      <c r="F47" s="50"/>
    </row>
    <row r="48" spans="1:10" ht="15" customHeight="1">
      <c r="A48" s="1" t="s">
        <v>201</v>
      </c>
      <c r="B48" s="32">
        <f>B44/B46</f>
        <v>0.71230656372216339</v>
      </c>
    </row>
    <row r="49" spans="1:8" ht="15" hidden="1" customHeight="1">
      <c r="A49" s="39" t="s">
        <v>173</v>
      </c>
      <c r="B49" s="38">
        <f>B30-B40</f>
        <v>0</v>
      </c>
      <c r="C49" s="38">
        <f>C30-C40</f>
        <v>0</v>
      </c>
      <c r="D49" s="38">
        <f>D30-D40</f>
        <v>0</v>
      </c>
      <c r="E49" s="38">
        <f>E30-E40</f>
        <v>0</v>
      </c>
      <c r="F49" s="38"/>
    </row>
    <row r="50" spans="1:8" ht="15" hidden="1" customHeight="1">
      <c r="B50" s="38">
        <f>B31-B40</f>
        <v>0</v>
      </c>
      <c r="C50" s="38">
        <f>C31-C40</f>
        <v>0</v>
      </c>
      <c r="D50" s="38">
        <f>D31-D40</f>
        <v>0</v>
      </c>
      <c r="E50" s="38">
        <f>E31-E40</f>
        <v>0</v>
      </c>
      <c r="F50" s="38"/>
    </row>
    <row r="51" spans="1:8" ht="15" hidden="1" customHeight="1">
      <c r="B51" s="38">
        <f>B32-B40</f>
        <v>0</v>
      </c>
      <c r="C51" s="38">
        <f>C32-C40</f>
        <v>0</v>
      </c>
      <c r="D51" s="38">
        <f>D32-D40</f>
        <v>0</v>
      </c>
      <c r="E51" s="38">
        <f>E32-E40</f>
        <v>0</v>
      </c>
      <c r="F51" s="38"/>
    </row>
    <row r="52" spans="1:8" ht="15" hidden="1" customHeight="1">
      <c r="A52" t="s">
        <v>171</v>
      </c>
      <c r="B52" s="38">
        <f>IF(B49&lt;0,B49*-1,B49)</f>
        <v>0</v>
      </c>
      <c r="C52" s="38">
        <f t="shared" ref="C52:E54" si="1">IF(C49&lt;0,C49*-1,C49)</f>
        <v>0</v>
      </c>
      <c r="D52" s="38">
        <f t="shared" si="1"/>
        <v>0</v>
      </c>
      <c r="E52" s="38">
        <f t="shared" si="1"/>
        <v>0</v>
      </c>
      <c r="F52" s="38"/>
    </row>
    <row r="53" spans="1:8" ht="15" hidden="1" customHeight="1">
      <c r="B53" s="38">
        <f>IF(B50&lt;0,B50*-1,B50)</f>
        <v>0</v>
      </c>
      <c r="C53" s="38">
        <f t="shared" si="1"/>
        <v>0</v>
      </c>
      <c r="D53" s="38">
        <f t="shared" si="1"/>
        <v>0</v>
      </c>
      <c r="E53" s="38">
        <f t="shared" si="1"/>
        <v>0</v>
      </c>
      <c r="F53" s="38"/>
      <c r="G53" s="38"/>
      <c r="H53" s="38"/>
    </row>
    <row r="54" spans="1:8" ht="15" hidden="1" customHeight="1">
      <c r="B54" s="38">
        <f>IF(B51&lt;0,B51*-1,B51)</f>
        <v>0</v>
      </c>
      <c r="C54" s="38">
        <f t="shared" si="1"/>
        <v>0</v>
      </c>
      <c r="D54" s="38">
        <f t="shared" si="1"/>
        <v>0</v>
      </c>
      <c r="E54" s="38">
        <f t="shared" si="1"/>
        <v>0</v>
      </c>
      <c r="F54" s="38"/>
      <c r="G54" s="38"/>
      <c r="H54" s="38"/>
    </row>
    <row r="55" spans="1:8" ht="15" hidden="1" customHeight="1">
      <c r="A55" t="s">
        <v>172</v>
      </c>
      <c r="B55" s="38">
        <f>IF(B52&lt;B53,B53,B52)</f>
        <v>0</v>
      </c>
      <c r="C55" s="38">
        <f>IF(C52&lt;C53,C53,C52)</f>
        <v>0</v>
      </c>
      <c r="D55" s="38">
        <f>IF(D52&lt;D53,D53,D52)</f>
        <v>0</v>
      </c>
      <c r="E55" s="38">
        <f>IF(E52&lt;E53,E53,E52)</f>
        <v>0</v>
      </c>
      <c r="F55" s="38"/>
      <c r="G55" s="38"/>
      <c r="H55" s="38"/>
    </row>
    <row r="56" spans="1:8" ht="15" hidden="1" customHeight="1">
      <c r="B56" s="38">
        <f>IF(B54&lt;B55,B55,B54)</f>
        <v>0</v>
      </c>
      <c r="C56" s="38">
        <f>IF(C54&lt;C55,C55,C54)</f>
        <v>0</v>
      </c>
      <c r="D56" s="38">
        <f>IF(D54&lt;D55,D55,D54)</f>
        <v>0</v>
      </c>
      <c r="E56" s="38">
        <f>IF(E54&lt;E55,E55,E54)</f>
        <v>0</v>
      </c>
      <c r="F56" s="38"/>
      <c r="G56" s="38"/>
      <c r="H56" s="38"/>
    </row>
    <row r="57" spans="1:8" ht="15" hidden="1" customHeight="1">
      <c r="A57" t="s">
        <v>174</v>
      </c>
      <c r="B57" s="38">
        <f>B33-B42</f>
        <v>0</v>
      </c>
      <c r="C57" s="38">
        <f>C33-C42</f>
        <v>0</v>
      </c>
      <c r="D57" s="38">
        <f>D33-D42</f>
        <v>0</v>
      </c>
      <c r="E57" s="38">
        <f>E33-E42</f>
        <v>0</v>
      </c>
      <c r="F57" s="38"/>
      <c r="G57" s="38"/>
      <c r="H57" s="38"/>
    </row>
    <row r="58" spans="1:8" ht="15" hidden="1" customHeight="1">
      <c r="B58" s="38">
        <f>B34-B42</f>
        <v>0</v>
      </c>
      <c r="C58" s="38">
        <f>C34-C42</f>
        <v>0</v>
      </c>
      <c r="D58" s="38">
        <f>D34-D42</f>
        <v>0</v>
      </c>
      <c r="E58" s="38">
        <f>E34-E42</f>
        <v>0</v>
      </c>
      <c r="F58" s="38"/>
      <c r="G58" s="38"/>
      <c r="H58" s="38"/>
    </row>
    <row r="59" spans="1:8" ht="15" hidden="1" customHeight="1">
      <c r="B59" s="38">
        <f>B35-B42</f>
        <v>0</v>
      </c>
      <c r="C59" s="38">
        <f>C35-C42</f>
        <v>0</v>
      </c>
      <c r="D59" s="38">
        <f>D35-D42</f>
        <v>0</v>
      </c>
      <c r="E59" s="38">
        <f>E35-E42</f>
        <v>0</v>
      </c>
      <c r="F59" s="38"/>
      <c r="G59" s="38"/>
      <c r="H59" s="38"/>
    </row>
    <row r="60" spans="1:8" ht="15" hidden="1" customHeight="1">
      <c r="A60" t="s">
        <v>171</v>
      </c>
      <c r="B60" s="38">
        <f t="shared" ref="B60:E62" si="2">IF(B57&lt;0,B57*-1,B57)</f>
        <v>0</v>
      </c>
      <c r="C60" s="38">
        <f t="shared" si="2"/>
        <v>0</v>
      </c>
      <c r="D60" s="38">
        <f t="shared" si="2"/>
        <v>0</v>
      </c>
      <c r="E60" s="38">
        <f t="shared" si="2"/>
        <v>0</v>
      </c>
      <c r="F60" s="38"/>
      <c r="G60" s="38"/>
      <c r="H60" s="38"/>
    </row>
    <row r="61" spans="1:8" ht="15" hidden="1" customHeight="1">
      <c r="B61" s="38">
        <f t="shared" si="2"/>
        <v>0</v>
      </c>
      <c r="C61" s="38">
        <f t="shared" si="2"/>
        <v>0</v>
      </c>
      <c r="D61" s="38">
        <f t="shared" si="2"/>
        <v>0</v>
      </c>
      <c r="E61" s="38">
        <f t="shared" si="2"/>
        <v>0</v>
      </c>
      <c r="F61" s="38"/>
      <c r="G61" s="38"/>
      <c r="H61" s="38"/>
    </row>
    <row r="62" spans="1:8" ht="15" hidden="1" customHeight="1">
      <c r="B62" s="38">
        <f t="shared" si="2"/>
        <v>0</v>
      </c>
      <c r="C62" s="38">
        <f t="shared" si="2"/>
        <v>0</v>
      </c>
      <c r="D62" s="38">
        <f t="shared" si="2"/>
        <v>0</v>
      </c>
      <c r="E62" s="38">
        <f t="shared" si="2"/>
        <v>0</v>
      </c>
      <c r="F62" s="38"/>
      <c r="G62" s="38"/>
      <c r="H62" s="38"/>
    </row>
    <row r="63" spans="1:8" ht="15" hidden="1" customHeight="1">
      <c r="A63" t="s">
        <v>172</v>
      </c>
      <c r="B63" s="38">
        <f>IF(B60&lt;B61,B61,B60)</f>
        <v>0</v>
      </c>
      <c r="C63" s="38">
        <f t="shared" ref="C63" si="3">IF(C60&lt;C61,C61,C60)</f>
        <v>0</v>
      </c>
      <c r="D63" s="38">
        <f>IF(D60&lt;D61,D61,D60)</f>
        <v>0</v>
      </c>
      <c r="E63" s="38">
        <f>IF(E60&lt;E61,E61,E60)</f>
        <v>0</v>
      </c>
      <c r="F63" s="38"/>
      <c r="G63" s="38"/>
      <c r="H63" s="38"/>
    </row>
    <row r="64" spans="1:8" ht="15" hidden="1" customHeight="1">
      <c r="B64" s="38">
        <f>IF(B62&lt;B63,B63,B62)</f>
        <v>0</v>
      </c>
      <c r="C64" s="38">
        <f t="shared" ref="C64" si="4">IF(C62&lt;C63,C63,C62)</f>
        <v>0</v>
      </c>
      <c r="D64" s="38">
        <f>IF(D62&lt;D63,D63,D62)</f>
        <v>0</v>
      </c>
      <c r="E64" s="38">
        <f>IF(E62&lt;E63,E63,E62)</f>
        <v>0</v>
      </c>
      <c r="F64" s="38"/>
      <c r="G64" s="38"/>
      <c r="H64" s="38"/>
    </row>
    <row r="65" spans="1:8" ht="15" customHeight="1">
      <c r="A65" s="1" t="s">
        <v>262</v>
      </c>
      <c r="B65" s="67">
        <f>(0.189*B39*B25)/(B47*B36*60)</f>
        <v>3.9307427338210438E-2</v>
      </c>
      <c r="G65" s="38"/>
    </row>
    <row r="66" spans="1:8">
      <c r="A66" s="1" t="s">
        <v>263</v>
      </c>
      <c r="B66" s="67">
        <f>(0.189*B39*B25)/(B48*B36*60)</f>
        <v>3.9678083285704088E-2</v>
      </c>
      <c r="G66" s="38"/>
      <c r="H66" s="51" t="s">
        <v>202</v>
      </c>
    </row>
    <row r="67" spans="1:8">
      <c r="G67" s="38"/>
      <c r="H67" s="38"/>
    </row>
    <row r="68" spans="1:8">
      <c r="G68" s="38"/>
    </row>
    <row r="75" spans="1:8" ht="23.25">
      <c r="A75" s="18" t="s">
        <v>79</v>
      </c>
    </row>
    <row r="76" spans="1:8" ht="15" customHeight="1"/>
    <row r="77" spans="1:8">
      <c r="A77" s="1" t="s">
        <v>83</v>
      </c>
    </row>
    <row r="96" spans="1:1">
      <c r="A96" s="1"/>
    </row>
    <row r="116" spans="1:8">
      <c r="A116" s="5" t="s">
        <v>80</v>
      </c>
    </row>
    <row r="117" spans="1:8">
      <c r="C117" t="s">
        <v>81</v>
      </c>
      <c r="H117" t="s">
        <v>82</v>
      </c>
    </row>
  </sheetData>
  <pageMargins left="0.7" right="0.7" top="0.75" bottom="0.75" header="0.3" footer="0.3"/>
  <pageSetup scale="75" orientation="landscape" horizontalDpi="4294967293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16"/>
  <sheetViews>
    <sheetView showGridLines="0" zoomScaleNormal="100" workbookViewId="0">
      <selection activeCell="B3" sqref="B3"/>
    </sheetView>
  </sheetViews>
  <sheetFormatPr defaultRowHeight="15"/>
  <cols>
    <col min="1" max="1" width="30.7109375" customWidth="1"/>
    <col min="2" max="7" width="11.7109375" customWidth="1"/>
    <col min="8" max="8" width="5.7109375" customWidth="1"/>
    <col min="10" max="10" width="5.7109375" customWidth="1"/>
  </cols>
  <sheetData>
    <row r="1" spans="1:13" ht="23.25">
      <c r="A1" s="2" t="s">
        <v>255</v>
      </c>
    </row>
    <row r="3" spans="1:13">
      <c r="A3" s="1" t="s">
        <v>48</v>
      </c>
      <c r="B3" s="6" t="s">
        <v>211</v>
      </c>
      <c r="C3" s="7"/>
      <c r="D3" s="7"/>
      <c r="E3" s="7"/>
      <c r="F3" s="7"/>
      <c r="G3" s="8"/>
      <c r="I3" s="5" t="s">
        <v>46</v>
      </c>
      <c r="J3" s="5" t="s">
        <v>56</v>
      </c>
      <c r="K3" s="5"/>
      <c r="L3" s="5"/>
      <c r="M3" s="5"/>
    </row>
    <row r="4" spans="1:13">
      <c r="A4" s="1" t="s">
        <v>84</v>
      </c>
      <c r="B4" s="6" t="s">
        <v>259</v>
      </c>
      <c r="C4" s="7"/>
      <c r="D4" s="7"/>
      <c r="E4" s="19"/>
      <c r="F4" s="19"/>
      <c r="G4" s="20"/>
      <c r="I4" s="3"/>
      <c r="J4" s="1" t="s">
        <v>178</v>
      </c>
      <c r="L4" s="4"/>
      <c r="M4" s="1" t="s">
        <v>179</v>
      </c>
    </row>
    <row r="5" spans="1:13">
      <c r="A5" s="1" t="s">
        <v>85</v>
      </c>
      <c r="B5" s="10">
        <v>41499</v>
      </c>
      <c r="C5" s="55" t="s">
        <v>86</v>
      </c>
      <c r="D5" s="56"/>
      <c r="E5" s="6" t="s">
        <v>107</v>
      </c>
      <c r="F5" s="7"/>
      <c r="G5" s="8"/>
    </row>
    <row r="6" spans="1:13">
      <c r="A6" s="1" t="s">
        <v>0</v>
      </c>
      <c r="B6" s="12">
        <v>6666</v>
      </c>
      <c r="C6" s="55" t="s">
        <v>88</v>
      </c>
      <c r="D6" s="57"/>
      <c r="E6" s="21">
        <v>1</v>
      </c>
      <c r="F6" s="22" t="s">
        <v>136</v>
      </c>
      <c r="G6" s="23" t="s">
        <v>89</v>
      </c>
    </row>
    <row r="7" spans="1:13">
      <c r="A7" s="1" t="s">
        <v>1</v>
      </c>
      <c r="B7" s="12">
        <v>666666</v>
      </c>
      <c r="C7" s="55" t="s">
        <v>87</v>
      </c>
      <c r="D7" s="56"/>
      <c r="E7" s="6" t="s">
        <v>242</v>
      </c>
      <c r="F7" s="7"/>
      <c r="G7" s="8"/>
      <c r="I7" s="5" t="s">
        <v>97</v>
      </c>
    </row>
    <row r="8" spans="1:13">
      <c r="A8" s="1" t="s">
        <v>2</v>
      </c>
      <c r="B8" s="14">
        <v>0.5</v>
      </c>
      <c r="C8" s="14"/>
      <c r="D8" s="14"/>
      <c r="E8" s="14"/>
      <c r="F8" s="14"/>
      <c r="G8" s="14"/>
      <c r="I8" s="1" t="s">
        <v>38</v>
      </c>
    </row>
    <row r="9" spans="1:13">
      <c r="A9" s="1" t="s">
        <v>34</v>
      </c>
      <c r="B9" s="23" t="s">
        <v>90</v>
      </c>
      <c r="C9" s="23" t="s">
        <v>89</v>
      </c>
      <c r="D9" s="23" t="s">
        <v>89</v>
      </c>
      <c r="E9" s="23" t="s">
        <v>89</v>
      </c>
      <c r="F9" s="23" t="s">
        <v>89</v>
      </c>
      <c r="G9" s="23" t="s">
        <v>89</v>
      </c>
      <c r="I9" t="s">
        <v>26</v>
      </c>
      <c r="J9" t="s">
        <v>30</v>
      </c>
      <c r="K9" t="s">
        <v>112</v>
      </c>
    </row>
    <row r="10" spans="1:13">
      <c r="A10" s="1" t="s">
        <v>35</v>
      </c>
      <c r="B10" s="23" t="s">
        <v>91</v>
      </c>
      <c r="C10" s="23" t="s">
        <v>89</v>
      </c>
      <c r="D10" s="23" t="s">
        <v>89</v>
      </c>
      <c r="E10" s="23" t="s">
        <v>89</v>
      </c>
      <c r="F10" s="23" t="s">
        <v>89</v>
      </c>
      <c r="G10" s="23" t="s">
        <v>89</v>
      </c>
      <c r="J10" t="s">
        <v>39</v>
      </c>
      <c r="K10" t="s">
        <v>28</v>
      </c>
    </row>
    <row r="11" spans="1:13">
      <c r="A11" s="1" t="s">
        <v>36</v>
      </c>
      <c r="B11" s="23" t="s">
        <v>89</v>
      </c>
      <c r="C11" s="23" t="s">
        <v>89</v>
      </c>
      <c r="D11" s="23" t="s">
        <v>89</v>
      </c>
      <c r="E11" s="23" t="s">
        <v>89</v>
      </c>
      <c r="F11" s="23" t="s">
        <v>89</v>
      </c>
      <c r="G11" s="23" t="s">
        <v>89</v>
      </c>
      <c r="K11" t="s">
        <v>164</v>
      </c>
    </row>
    <row r="12" spans="1:13">
      <c r="A12" s="1" t="s">
        <v>37</v>
      </c>
      <c r="B12" s="23" t="s">
        <v>89</v>
      </c>
      <c r="C12" s="23" t="s">
        <v>89</v>
      </c>
      <c r="D12" s="23" t="s">
        <v>89</v>
      </c>
      <c r="E12" s="23" t="s">
        <v>89</v>
      </c>
      <c r="F12" s="23" t="s">
        <v>89</v>
      </c>
      <c r="G12" s="23" t="s">
        <v>89</v>
      </c>
      <c r="J12" t="s">
        <v>41</v>
      </c>
      <c r="K12" t="s">
        <v>165</v>
      </c>
    </row>
    <row r="13" spans="1:13">
      <c r="A13" s="1" t="s">
        <v>95</v>
      </c>
      <c r="B13" s="36"/>
      <c r="C13" s="37"/>
      <c r="D13" s="37"/>
      <c r="E13" s="37"/>
      <c r="F13" s="37"/>
      <c r="G13" s="37"/>
      <c r="J13" t="s">
        <v>44</v>
      </c>
      <c r="K13" t="s">
        <v>45</v>
      </c>
    </row>
    <row r="14" spans="1:13">
      <c r="B14" s="25"/>
      <c r="C14" s="25"/>
      <c r="D14" s="25"/>
      <c r="E14" s="25"/>
      <c r="F14" s="25"/>
      <c r="G14" s="25"/>
    </row>
    <row r="15" spans="1:13" ht="17.25">
      <c r="A15" s="1" t="s">
        <v>3</v>
      </c>
      <c r="B15" s="64" t="s">
        <v>232</v>
      </c>
      <c r="C15" s="9"/>
      <c r="D15" s="11"/>
      <c r="E15" s="9"/>
      <c r="F15" s="9"/>
      <c r="G15" s="9"/>
      <c r="I15" s="1" t="s">
        <v>73</v>
      </c>
    </row>
    <row r="16" spans="1:13">
      <c r="A16" s="1"/>
      <c r="B16" s="9"/>
      <c r="C16" s="9"/>
      <c r="D16" s="9"/>
      <c r="E16" s="9"/>
      <c r="F16" s="9"/>
      <c r="G16" s="9"/>
      <c r="I16" t="s">
        <v>26</v>
      </c>
      <c r="J16" t="s">
        <v>68</v>
      </c>
      <c r="K16" t="s">
        <v>166</v>
      </c>
    </row>
    <row r="17" spans="1:11" ht="15" customHeight="1">
      <c r="A17" s="1" t="s">
        <v>137</v>
      </c>
      <c r="B17" s="26">
        <v>500</v>
      </c>
      <c r="C17" s="26">
        <v>750</v>
      </c>
      <c r="D17" s="26">
        <v>1000</v>
      </c>
      <c r="E17" s="26">
        <v>1250</v>
      </c>
      <c r="F17" s="26">
        <v>1500</v>
      </c>
      <c r="G17" s="26">
        <v>1750</v>
      </c>
      <c r="J17" t="s">
        <v>72</v>
      </c>
    </row>
    <row r="18" spans="1:11">
      <c r="A18" s="1" t="s">
        <v>18</v>
      </c>
      <c r="B18" s="27">
        <v>25</v>
      </c>
      <c r="C18" s="27">
        <v>25</v>
      </c>
      <c r="D18" s="27">
        <v>25</v>
      </c>
      <c r="E18" s="27">
        <v>25</v>
      </c>
      <c r="F18" s="27">
        <v>25</v>
      </c>
      <c r="G18" s="27">
        <v>25</v>
      </c>
      <c r="J18" t="s">
        <v>78</v>
      </c>
    </row>
    <row r="19" spans="1:11">
      <c r="A19" s="1" t="s">
        <v>11</v>
      </c>
      <c r="B19" s="27">
        <v>348</v>
      </c>
      <c r="C19" s="27">
        <v>343</v>
      </c>
      <c r="D19" s="27">
        <v>335</v>
      </c>
      <c r="E19" s="27">
        <v>317</v>
      </c>
      <c r="F19" s="27">
        <v>288</v>
      </c>
      <c r="G19" s="27">
        <v>251</v>
      </c>
    </row>
    <row r="20" spans="1:11" ht="15" customHeight="1">
      <c r="A20" s="1" t="s">
        <v>19</v>
      </c>
      <c r="B20" s="27">
        <v>0.6</v>
      </c>
      <c r="C20" s="27">
        <v>0.7</v>
      </c>
      <c r="D20" s="27">
        <v>0.9</v>
      </c>
      <c r="E20" s="27">
        <v>1</v>
      </c>
      <c r="F20" s="27">
        <v>1.2</v>
      </c>
      <c r="G20" s="27">
        <v>1.3</v>
      </c>
      <c r="I20" s="1" t="s">
        <v>110</v>
      </c>
    </row>
    <row r="21" spans="1:11">
      <c r="A21" s="1" t="s">
        <v>20</v>
      </c>
      <c r="B21" s="27">
        <v>12</v>
      </c>
      <c r="C21" s="27">
        <v>12</v>
      </c>
      <c r="D21" s="27">
        <v>12</v>
      </c>
      <c r="E21" s="27">
        <v>12</v>
      </c>
      <c r="F21" s="27">
        <v>12</v>
      </c>
      <c r="G21" s="27">
        <v>12</v>
      </c>
      <c r="I21" t="s">
        <v>26</v>
      </c>
      <c r="J21" t="s">
        <v>74</v>
      </c>
      <c r="K21" t="s">
        <v>75</v>
      </c>
    </row>
    <row r="22" spans="1:11">
      <c r="A22" s="1" t="s">
        <v>12</v>
      </c>
      <c r="B22" s="28">
        <f>(B17*0.4085)/(B21*B21)</f>
        <v>1.4184027777777777</v>
      </c>
      <c r="C22" s="28">
        <f t="shared" ref="C22:G22" si="0">(C17*0.4085)/(C21*C21)</f>
        <v>2.1276041666666665</v>
      </c>
      <c r="D22" s="28">
        <f t="shared" si="0"/>
        <v>2.8368055555555554</v>
      </c>
      <c r="E22" s="28">
        <f t="shared" si="0"/>
        <v>3.5460069444444442</v>
      </c>
      <c r="F22" s="28">
        <f t="shared" si="0"/>
        <v>4.255208333333333</v>
      </c>
      <c r="G22" s="28">
        <f t="shared" si="0"/>
        <v>4.9644097222222223</v>
      </c>
      <c r="J22" t="s">
        <v>76</v>
      </c>
      <c r="K22" t="s">
        <v>77</v>
      </c>
    </row>
    <row r="23" spans="1:11">
      <c r="A23" s="1" t="s">
        <v>21</v>
      </c>
      <c r="B23" s="28">
        <f>(B22*B22)/64.4</f>
        <v>3.1240162111921054E-2</v>
      </c>
      <c r="C23" s="28">
        <f t="shared" ref="C23:G23" si="1">(C22*C22)/64.4</f>
        <v>7.0290364751822362E-2</v>
      </c>
      <c r="D23" s="28">
        <f t="shared" si="1"/>
        <v>0.12496064844768422</v>
      </c>
      <c r="E23" s="28">
        <f t="shared" si="1"/>
        <v>0.19525101319950655</v>
      </c>
      <c r="F23" s="28">
        <f t="shared" si="1"/>
        <v>0.28116145900728945</v>
      </c>
      <c r="G23" s="28">
        <f t="shared" si="1"/>
        <v>0.38269198587103292</v>
      </c>
    </row>
    <row r="24" spans="1:11">
      <c r="A24" s="1" t="s">
        <v>4</v>
      </c>
      <c r="B24" s="28">
        <f>B18+B19+B20+B23</f>
        <v>373.63124016211196</v>
      </c>
      <c r="C24" s="28">
        <f t="shared" ref="C24:G24" si="2">C18+C19+C20+C23</f>
        <v>368.77029036475182</v>
      </c>
      <c r="D24" s="28">
        <f t="shared" si="2"/>
        <v>361.02496064844769</v>
      </c>
      <c r="E24" s="28">
        <f t="shared" si="2"/>
        <v>343.19525101319948</v>
      </c>
      <c r="F24" s="28">
        <f t="shared" si="2"/>
        <v>314.4811614590073</v>
      </c>
      <c r="G24" s="28">
        <f t="shared" si="2"/>
        <v>277.68269198587103</v>
      </c>
    </row>
    <row r="25" spans="1:11">
      <c r="A25" s="1"/>
      <c r="B25" s="41"/>
      <c r="C25" s="41"/>
      <c r="D25" s="41"/>
      <c r="E25" s="41"/>
      <c r="F25" s="41"/>
      <c r="G25" s="41"/>
    </row>
    <row r="26" spans="1:11">
      <c r="A26" s="1"/>
      <c r="B26" s="41"/>
      <c r="C26" s="41"/>
      <c r="D26" s="41"/>
      <c r="E26" s="41"/>
      <c r="F26" s="41"/>
      <c r="G26" s="41"/>
    </row>
    <row r="27" spans="1:11">
      <c r="A27" s="1" t="s">
        <v>49</v>
      </c>
    </row>
    <row r="28" spans="1:11">
      <c r="A28" s="1"/>
    </row>
    <row r="29" spans="1:11">
      <c r="A29" s="1" t="s">
        <v>50</v>
      </c>
      <c r="B29" s="29">
        <v>460</v>
      </c>
      <c r="C29" s="29">
        <v>460</v>
      </c>
      <c r="D29" s="29">
        <v>460</v>
      </c>
      <c r="E29" s="29">
        <v>460</v>
      </c>
      <c r="F29" s="29">
        <v>460</v>
      </c>
      <c r="G29" s="29">
        <v>460</v>
      </c>
      <c r="I29" s="1" t="s">
        <v>67</v>
      </c>
    </row>
    <row r="30" spans="1:11">
      <c r="A30" s="1" t="s">
        <v>51</v>
      </c>
      <c r="B30" s="29">
        <v>460</v>
      </c>
      <c r="C30" s="29">
        <v>460</v>
      </c>
      <c r="D30" s="29">
        <v>460</v>
      </c>
      <c r="E30" s="29">
        <v>460</v>
      </c>
      <c r="F30" s="29">
        <v>460</v>
      </c>
      <c r="G30" s="29">
        <v>460</v>
      </c>
      <c r="I30" s="1" t="s">
        <v>241</v>
      </c>
    </row>
    <row r="31" spans="1:11">
      <c r="A31" s="1" t="s">
        <v>55</v>
      </c>
      <c r="B31" s="29">
        <v>460</v>
      </c>
      <c r="C31" s="29">
        <v>460</v>
      </c>
      <c r="D31" s="29">
        <v>460</v>
      </c>
      <c r="E31" s="29">
        <v>460</v>
      </c>
      <c r="F31" s="29">
        <v>460</v>
      </c>
      <c r="G31" s="29">
        <v>460</v>
      </c>
      <c r="I31" t="s">
        <v>26</v>
      </c>
      <c r="J31" t="s">
        <v>57</v>
      </c>
      <c r="K31" t="s">
        <v>61</v>
      </c>
    </row>
    <row r="32" spans="1:11">
      <c r="A32" s="1" t="s">
        <v>52</v>
      </c>
      <c r="B32" s="29">
        <v>120</v>
      </c>
      <c r="C32" s="29">
        <v>140</v>
      </c>
      <c r="D32" s="29">
        <v>160</v>
      </c>
      <c r="E32" s="29">
        <v>175</v>
      </c>
      <c r="F32" s="29">
        <v>185</v>
      </c>
      <c r="G32" s="29">
        <v>200</v>
      </c>
      <c r="J32" t="s">
        <v>58</v>
      </c>
      <c r="K32" t="s">
        <v>62</v>
      </c>
    </row>
    <row r="33" spans="1:11">
      <c r="A33" s="1" t="s">
        <v>53</v>
      </c>
      <c r="B33" s="29">
        <v>120</v>
      </c>
      <c r="C33" s="29">
        <v>140</v>
      </c>
      <c r="D33" s="29">
        <v>160</v>
      </c>
      <c r="E33" s="29">
        <v>175</v>
      </c>
      <c r="F33" s="29">
        <v>185</v>
      </c>
      <c r="G33" s="29">
        <v>200</v>
      </c>
      <c r="J33" t="s">
        <v>59</v>
      </c>
      <c r="K33" t="s">
        <v>63</v>
      </c>
    </row>
    <row r="34" spans="1:11">
      <c r="A34" s="1" t="s">
        <v>54</v>
      </c>
      <c r="B34" s="29">
        <v>120</v>
      </c>
      <c r="C34" s="29">
        <v>140</v>
      </c>
      <c r="D34" s="29">
        <v>160</v>
      </c>
      <c r="E34" s="29">
        <v>175</v>
      </c>
      <c r="F34" s="29">
        <v>185</v>
      </c>
      <c r="G34" s="29">
        <v>200</v>
      </c>
      <c r="J34" t="s">
        <v>60</v>
      </c>
      <c r="K34" t="s">
        <v>64</v>
      </c>
    </row>
    <row r="35" spans="1:11">
      <c r="A35" s="1" t="s">
        <v>228</v>
      </c>
      <c r="B35" s="30">
        <v>0.91</v>
      </c>
      <c r="C35" s="30">
        <v>0.91</v>
      </c>
      <c r="D35" s="30">
        <v>0.91</v>
      </c>
      <c r="E35" s="30">
        <v>0.91</v>
      </c>
      <c r="F35" s="30">
        <v>0.91</v>
      </c>
      <c r="G35" s="30">
        <v>0.91</v>
      </c>
      <c r="J35" s="16">
        <v>1.732</v>
      </c>
      <c r="K35" t="s">
        <v>65</v>
      </c>
    </row>
    <row r="36" spans="1:11">
      <c r="A36" s="1" t="s">
        <v>227</v>
      </c>
      <c r="B36" s="30">
        <v>0.81</v>
      </c>
      <c r="C36" s="30">
        <v>0.81</v>
      </c>
      <c r="D36" s="30">
        <v>0.81</v>
      </c>
      <c r="E36" s="30">
        <v>0.81</v>
      </c>
      <c r="F36" s="30">
        <v>0.81</v>
      </c>
      <c r="G36" s="30">
        <v>0.81</v>
      </c>
      <c r="J36" s="16">
        <v>746</v>
      </c>
      <c r="K36" t="s">
        <v>66</v>
      </c>
    </row>
    <row r="37" spans="1:11">
      <c r="A37" s="1" t="s">
        <v>256</v>
      </c>
      <c r="B37" s="27">
        <v>77</v>
      </c>
      <c r="C37" s="27">
        <v>90</v>
      </c>
      <c r="D37" s="27">
        <v>104</v>
      </c>
      <c r="E37" s="27">
        <v>113</v>
      </c>
      <c r="F37" s="27">
        <v>119</v>
      </c>
      <c r="G37" s="27">
        <v>129</v>
      </c>
      <c r="J37" t="s">
        <v>167</v>
      </c>
    </row>
    <row r="38" spans="1:11">
      <c r="A38" s="1" t="s">
        <v>101</v>
      </c>
      <c r="B38" s="27">
        <v>3</v>
      </c>
      <c r="C38" s="27">
        <v>3</v>
      </c>
      <c r="D38" s="27">
        <v>3</v>
      </c>
      <c r="E38" s="27">
        <v>3</v>
      </c>
      <c r="F38" s="27">
        <v>3</v>
      </c>
      <c r="G38" s="27">
        <v>3</v>
      </c>
    </row>
    <row r="39" spans="1:11">
      <c r="A39" s="1" t="s">
        <v>102</v>
      </c>
      <c r="B39" s="26">
        <v>25</v>
      </c>
      <c r="C39" s="26">
        <v>25</v>
      </c>
      <c r="D39" s="26">
        <v>25</v>
      </c>
      <c r="E39" s="26">
        <v>25</v>
      </c>
      <c r="F39" s="26">
        <v>25</v>
      </c>
      <c r="G39" s="26">
        <v>25</v>
      </c>
      <c r="I39" s="1" t="s">
        <v>163</v>
      </c>
    </row>
    <row r="40" spans="1:11">
      <c r="A40" s="1" t="s">
        <v>261</v>
      </c>
      <c r="B40" s="66">
        <v>0.11</v>
      </c>
      <c r="C40" s="66">
        <v>0.11</v>
      </c>
      <c r="D40" s="66">
        <v>0.11</v>
      </c>
      <c r="E40" s="66">
        <v>0.11</v>
      </c>
      <c r="F40" s="66">
        <v>0.11</v>
      </c>
      <c r="G40" s="66">
        <v>0.11</v>
      </c>
      <c r="I40" t="s">
        <v>26</v>
      </c>
      <c r="J40" t="s">
        <v>68</v>
      </c>
      <c r="K40" t="s">
        <v>161</v>
      </c>
    </row>
    <row r="41" spans="1:11">
      <c r="A41" s="1" t="s">
        <v>5</v>
      </c>
      <c r="B41" s="31">
        <f>(B29+B30+B31)/3</f>
        <v>460</v>
      </c>
      <c r="C41" s="31">
        <f t="shared" ref="C41:G41" si="3">(C29+C30+C31)/3</f>
        <v>460</v>
      </c>
      <c r="D41" s="31">
        <f t="shared" si="3"/>
        <v>460</v>
      </c>
      <c r="E41" s="31">
        <f t="shared" si="3"/>
        <v>460</v>
      </c>
      <c r="F41" s="31">
        <f t="shared" si="3"/>
        <v>460</v>
      </c>
      <c r="G41" s="31">
        <f t="shared" si="3"/>
        <v>460</v>
      </c>
      <c r="J41" t="s">
        <v>69</v>
      </c>
      <c r="K41" t="s">
        <v>126</v>
      </c>
    </row>
    <row r="42" spans="1:11">
      <c r="A42" s="1" t="s">
        <v>169</v>
      </c>
      <c r="B42" s="40">
        <f t="shared" ref="B42:G42" si="4">B60/B41</f>
        <v>0</v>
      </c>
      <c r="C42" s="40">
        <f t="shared" si="4"/>
        <v>0</v>
      </c>
      <c r="D42" s="40">
        <f t="shared" si="4"/>
        <v>0</v>
      </c>
      <c r="E42" s="40">
        <f t="shared" si="4"/>
        <v>0</v>
      </c>
      <c r="F42" s="40">
        <f t="shared" si="4"/>
        <v>0</v>
      </c>
      <c r="G42" s="40">
        <f t="shared" si="4"/>
        <v>0</v>
      </c>
      <c r="J42" t="s">
        <v>168</v>
      </c>
    </row>
    <row r="43" spans="1:11">
      <c r="A43" s="1" t="s">
        <v>6</v>
      </c>
      <c r="B43" s="31">
        <f>(B32+B33+B34)/3</f>
        <v>120</v>
      </c>
      <c r="C43" s="31">
        <f t="shared" ref="C43:G43" si="5">(C32+C33+C34)/3</f>
        <v>140</v>
      </c>
      <c r="D43" s="31">
        <f t="shared" si="5"/>
        <v>160</v>
      </c>
      <c r="E43" s="31">
        <f t="shared" si="5"/>
        <v>175</v>
      </c>
      <c r="F43" s="31">
        <f t="shared" si="5"/>
        <v>185</v>
      </c>
      <c r="G43" s="31">
        <f t="shared" si="5"/>
        <v>200</v>
      </c>
      <c r="J43" s="16">
        <v>3960</v>
      </c>
      <c r="K43" t="s">
        <v>70</v>
      </c>
    </row>
    <row r="44" spans="1:11">
      <c r="A44" s="1" t="s">
        <v>170</v>
      </c>
      <c r="B44" s="40">
        <f>B70/B43</f>
        <v>0</v>
      </c>
      <c r="C44" s="40">
        <f>C68/C43</f>
        <v>0</v>
      </c>
      <c r="D44" s="40">
        <f>D68/D43</f>
        <v>0</v>
      </c>
      <c r="E44" s="40">
        <f>E68/E43</f>
        <v>0</v>
      </c>
      <c r="F44" s="40">
        <f>F68/F43</f>
        <v>0</v>
      </c>
      <c r="G44" s="40">
        <f>G68/G43</f>
        <v>0</v>
      </c>
    </row>
    <row r="45" spans="1:11">
      <c r="A45" s="1" t="s">
        <v>13</v>
      </c>
      <c r="B45" s="28">
        <f t="shared" ref="B45:G45" si="6">(B17*B24)/3960</f>
        <v>47.175661636630302</v>
      </c>
      <c r="C45" s="28">
        <f t="shared" si="6"/>
        <v>69.842858023627244</v>
      </c>
      <c r="D45" s="28">
        <f t="shared" si="6"/>
        <v>91.167919355668602</v>
      </c>
      <c r="E45" s="28">
        <f t="shared" si="6"/>
        <v>108.33183428446954</v>
      </c>
      <c r="F45" s="28">
        <f t="shared" si="6"/>
        <v>119.1216520678058</v>
      </c>
      <c r="G45" s="28">
        <f t="shared" si="6"/>
        <v>122.713310852342</v>
      </c>
      <c r="I45" s="1" t="s">
        <v>105</v>
      </c>
    </row>
    <row r="46" spans="1:11">
      <c r="A46" s="1" t="s">
        <v>207</v>
      </c>
      <c r="B46" s="28">
        <f t="shared" ref="B46:G46" si="7">(1.732*B41*B43*B35*B36)/746</f>
        <v>94.465787453083138</v>
      </c>
      <c r="C46" s="28">
        <f t="shared" si="7"/>
        <v>110.21008536193031</v>
      </c>
      <c r="D46" s="28">
        <f t="shared" si="7"/>
        <v>125.9543832707775</v>
      </c>
      <c r="E46" s="28">
        <f t="shared" si="7"/>
        <v>137.76260670241288</v>
      </c>
      <c r="F46" s="28">
        <f t="shared" si="7"/>
        <v>145.63475565683649</v>
      </c>
      <c r="G46" s="28">
        <f t="shared" si="7"/>
        <v>157.44297908847187</v>
      </c>
    </row>
    <row r="47" spans="1:11">
      <c r="A47" s="1" t="s">
        <v>210</v>
      </c>
      <c r="B47" s="28">
        <f t="shared" ref="B47:G47" si="8">(B37*B35)/0.746</f>
        <v>93.927613941018777</v>
      </c>
      <c r="C47" s="28">
        <f t="shared" si="8"/>
        <v>109.78552278820376</v>
      </c>
      <c r="D47" s="28">
        <f t="shared" si="8"/>
        <v>126.8632707774799</v>
      </c>
      <c r="E47" s="28">
        <f t="shared" si="8"/>
        <v>137.84182305630026</v>
      </c>
      <c r="F47" s="28">
        <f t="shared" si="8"/>
        <v>145.16085790884719</v>
      </c>
      <c r="G47" s="28">
        <f t="shared" si="8"/>
        <v>157.35924932975871</v>
      </c>
      <c r="I47" s="1" t="s">
        <v>264</v>
      </c>
    </row>
    <row r="48" spans="1:11">
      <c r="A48" s="1" t="s">
        <v>96</v>
      </c>
      <c r="B48" s="28">
        <f t="shared" ref="B48:G48" si="9">(B39/100)*B38</f>
        <v>0.75</v>
      </c>
      <c r="C48" s="28">
        <f t="shared" si="9"/>
        <v>0.75</v>
      </c>
      <c r="D48" s="28">
        <f t="shared" si="9"/>
        <v>0.75</v>
      </c>
      <c r="E48" s="28">
        <f t="shared" si="9"/>
        <v>0.75</v>
      </c>
      <c r="F48" s="28">
        <f t="shared" si="9"/>
        <v>0.75</v>
      </c>
      <c r="G48" s="28">
        <f t="shared" si="9"/>
        <v>0.75</v>
      </c>
    </row>
    <row r="49" spans="1:9" ht="15" customHeight="1">
      <c r="A49" s="1" t="s">
        <v>208</v>
      </c>
      <c r="B49" s="28">
        <f t="shared" ref="B49:G49" si="10">B46-B48</f>
        <v>93.715787453083138</v>
      </c>
      <c r="C49" s="28">
        <f t="shared" si="10"/>
        <v>109.46008536193031</v>
      </c>
      <c r="D49" s="28">
        <f t="shared" si="10"/>
        <v>125.2043832707775</v>
      </c>
      <c r="E49" s="28">
        <f t="shared" si="10"/>
        <v>137.01260670241288</v>
      </c>
      <c r="F49" s="28">
        <f t="shared" si="10"/>
        <v>144.88475565683649</v>
      </c>
      <c r="G49" s="28">
        <f t="shared" si="10"/>
        <v>156.69297908847187</v>
      </c>
    </row>
    <row r="50" spans="1:9" ht="15" customHeight="1">
      <c r="A50" s="1" t="s">
        <v>209</v>
      </c>
      <c r="B50" s="28">
        <f>B47-B48</f>
        <v>93.177613941018777</v>
      </c>
      <c r="C50" s="28">
        <f t="shared" ref="C50:G50" si="11">C47-C48</f>
        <v>109.03552278820376</v>
      </c>
      <c r="D50" s="28">
        <f t="shared" si="11"/>
        <v>126.1132707774799</v>
      </c>
      <c r="E50" s="28">
        <f t="shared" si="11"/>
        <v>137.09182305630026</v>
      </c>
      <c r="F50" s="28">
        <f t="shared" si="11"/>
        <v>144.41085790884719</v>
      </c>
      <c r="G50" s="28">
        <f t="shared" si="11"/>
        <v>156.60924932975871</v>
      </c>
      <c r="I50" s="5"/>
    </row>
    <row r="51" spans="1:9" ht="15" customHeight="1">
      <c r="A51" s="1" t="s">
        <v>200</v>
      </c>
      <c r="B51" s="32">
        <f t="shared" ref="B51:G51" si="12">B45/B49</f>
        <v>0.50339076177797493</v>
      </c>
      <c r="C51" s="32">
        <f t="shared" si="12"/>
        <v>0.63806690623976303</v>
      </c>
      <c r="D51" s="32">
        <f t="shared" si="12"/>
        <v>0.72815277687603963</v>
      </c>
      <c r="E51" s="32">
        <f t="shared" si="12"/>
        <v>0.79067055865715274</v>
      </c>
      <c r="F51" s="32">
        <f t="shared" si="12"/>
        <v>0.82218209588556501</v>
      </c>
      <c r="G51" s="32">
        <f t="shared" si="12"/>
        <v>0.78314492178399209</v>
      </c>
    </row>
    <row r="52" spans="1:9" ht="15" customHeight="1">
      <c r="A52" s="1" t="s">
        <v>201</v>
      </c>
      <c r="B52" s="32">
        <f>B45/B50</f>
        <v>0.50629823668260476</v>
      </c>
      <c r="C52" s="32">
        <f t="shared" ref="C52:G52" si="13">C45/C50</f>
        <v>0.64055141148168404</v>
      </c>
      <c r="D52" s="32">
        <f t="shared" si="13"/>
        <v>0.72290504237678133</v>
      </c>
      <c r="E52" s="32">
        <f t="shared" si="13"/>
        <v>0.79021368210983889</v>
      </c>
      <c r="F52" s="32">
        <f t="shared" si="13"/>
        <v>0.82488016339461079</v>
      </c>
      <c r="G52" s="32">
        <f t="shared" si="13"/>
        <v>0.78356362333335161</v>
      </c>
      <c r="I52" s="5"/>
    </row>
    <row r="53" spans="1:9" ht="15" customHeight="1">
      <c r="A53" s="1" t="s">
        <v>262</v>
      </c>
      <c r="B53" s="68">
        <f>(0.189*B40*B24)/(B51*B35*60)</f>
        <v>0.28261797933159</v>
      </c>
      <c r="C53" s="68">
        <f t="shared" ref="C53:G53" si="14">(0.189*C40*C24)/(C51*C35*60)</f>
        <v>0.22006529161687766</v>
      </c>
      <c r="D53" s="68">
        <f t="shared" si="14"/>
        <v>0.1887889477595216</v>
      </c>
      <c r="E53" s="68">
        <f t="shared" si="14"/>
        <v>0.1652751456357352</v>
      </c>
      <c r="F53" s="68">
        <f t="shared" si="14"/>
        <v>0.14564261437873377</v>
      </c>
      <c r="G53" s="68">
        <f t="shared" si="14"/>
        <v>0.13501080334471319</v>
      </c>
      <c r="I53" s="5"/>
    </row>
    <row r="54" spans="1:9" ht="15" customHeight="1">
      <c r="A54" s="1" t="s">
        <v>263</v>
      </c>
      <c r="B54" s="68">
        <f>(0.189*B40*B24)/(B52*B35*60)</f>
        <v>0.28099501361105383</v>
      </c>
      <c r="C54" s="68">
        <f t="shared" ref="C54:G54" si="15">(0.189*C40*C24)/(C52*C35*60)</f>
        <v>0.21921172489173019</v>
      </c>
      <c r="D54" s="68">
        <f t="shared" si="15"/>
        <v>0.19015941029078162</v>
      </c>
      <c r="E54" s="68">
        <f t="shared" si="15"/>
        <v>0.16537070249535987</v>
      </c>
      <c r="F54" s="68">
        <f t="shared" si="15"/>
        <v>0.14516623778098578</v>
      </c>
      <c r="G54" s="68">
        <f t="shared" si="15"/>
        <v>0.13493865957634857</v>
      </c>
      <c r="I54" s="5" t="s">
        <v>47</v>
      </c>
    </row>
    <row r="55" spans="1:9" ht="15" hidden="1" customHeight="1">
      <c r="A55" s="39" t="s">
        <v>173</v>
      </c>
      <c r="B55" s="38">
        <f>B29-B41</f>
        <v>0</v>
      </c>
      <c r="C55" s="38">
        <f t="shared" ref="C55:G55" si="16">C29-C41</f>
        <v>0</v>
      </c>
      <c r="D55" s="38">
        <f t="shared" si="16"/>
        <v>0</v>
      </c>
      <c r="E55" s="38">
        <f t="shared" si="16"/>
        <v>0</v>
      </c>
      <c r="F55" s="38">
        <f t="shared" si="16"/>
        <v>0</v>
      </c>
      <c r="G55" s="38">
        <f t="shared" si="16"/>
        <v>0</v>
      </c>
    </row>
    <row r="56" spans="1:9" ht="15" hidden="1" customHeight="1">
      <c r="B56" s="38">
        <f>B30-B41</f>
        <v>0</v>
      </c>
      <c r="C56" s="38">
        <f t="shared" ref="C56:G56" si="17">C30-C41</f>
        <v>0</v>
      </c>
      <c r="D56" s="38">
        <f t="shared" si="17"/>
        <v>0</v>
      </c>
      <c r="E56" s="38">
        <f t="shared" si="17"/>
        <v>0</v>
      </c>
      <c r="F56" s="38">
        <f t="shared" si="17"/>
        <v>0</v>
      </c>
      <c r="G56" s="38">
        <f t="shared" si="17"/>
        <v>0</v>
      </c>
    </row>
    <row r="57" spans="1:9" ht="15" hidden="1" customHeight="1">
      <c r="B57" s="38">
        <f>B31-B41</f>
        <v>0</v>
      </c>
      <c r="C57" s="38">
        <f t="shared" ref="C57:G57" si="18">C31-C41</f>
        <v>0</v>
      </c>
      <c r="D57" s="38">
        <f t="shared" si="18"/>
        <v>0</v>
      </c>
      <c r="E57" s="38">
        <f t="shared" si="18"/>
        <v>0</v>
      </c>
      <c r="F57" s="38">
        <f t="shared" si="18"/>
        <v>0</v>
      </c>
      <c r="G57" s="38">
        <f t="shared" si="18"/>
        <v>0</v>
      </c>
    </row>
    <row r="58" spans="1:9" ht="15" hidden="1" customHeight="1">
      <c r="A58" t="s">
        <v>171</v>
      </c>
      <c r="B58" s="38">
        <f>IF(B55&lt;0,B55*-1,B55)</f>
        <v>0</v>
      </c>
      <c r="C58" s="38">
        <f t="shared" ref="C58:G58" si="19">IF(C55&lt;0,C55*-1,C55)</f>
        <v>0</v>
      </c>
      <c r="D58" s="38">
        <f t="shared" si="19"/>
        <v>0</v>
      </c>
      <c r="E58" s="38">
        <f t="shared" si="19"/>
        <v>0</v>
      </c>
      <c r="F58" s="38">
        <f t="shared" si="19"/>
        <v>0</v>
      </c>
      <c r="G58" s="38">
        <f t="shared" si="19"/>
        <v>0</v>
      </c>
    </row>
    <row r="59" spans="1:9" ht="15" hidden="1" customHeight="1">
      <c r="B59" s="38">
        <f>IF(B56&lt;0,B56*-1,B56)</f>
        <v>0</v>
      </c>
      <c r="C59" s="38">
        <f t="shared" ref="C59:G59" si="20">IF(C56&lt;0,C56*-1,C56)</f>
        <v>0</v>
      </c>
      <c r="D59" s="38">
        <f t="shared" si="20"/>
        <v>0</v>
      </c>
      <c r="E59" s="38">
        <f t="shared" si="20"/>
        <v>0</v>
      </c>
      <c r="F59" s="38">
        <f t="shared" si="20"/>
        <v>0</v>
      </c>
      <c r="G59" s="38">
        <f t="shared" si="20"/>
        <v>0</v>
      </c>
    </row>
    <row r="60" spans="1:9" ht="15" hidden="1" customHeight="1">
      <c r="B60" s="38">
        <f>IF(B57&lt;0,B57*-1,B57)</f>
        <v>0</v>
      </c>
      <c r="C60" s="38">
        <f t="shared" ref="C60:G60" si="21">IF(C57&lt;0,C57*-1,C57)</f>
        <v>0</v>
      </c>
      <c r="D60" s="38">
        <f t="shared" si="21"/>
        <v>0</v>
      </c>
      <c r="E60" s="38">
        <f t="shared" si="21"/>
        <v>0</v>
      </c>
      <c r="F60" s="38">
        <f t="shared" si="21"/>
        <v>0</v>
      </c>
      <c r="G60" s="38">
        <f t="shared" si="21"/>
        <v>0</v>
      </c>
    </row>
    <row r="61" spans="1:9" ht="15" hidden="1" customHeight="1">
      <c r="A61" t="s">
        <v>172</v>
      </c>
      <c r="B61" s="38">
        <f t="shared" ref="B61:G61" si="22">IF(B58&lt;B59,B59,B58)</f>
        <v>0</v>
      </c>
      <c r="C61" s="38">
        <f t="shared" si="22"/>
        <v>0</v>
      </c>
      <c r="D61" s="38">
        <f t="shared" si="22"/>
        <v>0</v>
      </c>
      <c r="E61" s="38">
        <f t="shared" si="22"/>
        <v>0</v>
      </c>
      <c r="F61" s="38">
        <f t="shared" si="22"/>
        <v>0</v>
      </c>
      <c r="G61" s="38">
        <f t="shared" si="22"/>
        <v>0</v>
      </c>
    </row>
    <row r="62" spans="1:9" ht="15" hidden="1" customHeight="1">
      <c r="B62" s="38">
        <f t="shared" ref="B62:G62" si="23">IF(B60&lt;B61,B61,B60)</f>
        <v>0</v>
      </c>
      <c r="C62" s="38">
        <f t="shared" si="23"/>
        <v>0</v>
      </c>
      <c r="D62" s="38">
        <f t="shared" si="23"/>
        <v>0</v>
      </c>
      <c r="E62" s="38">
        <f t="shared" si="23"/>
        <v>0</v>
      </c>
      <c r="F62" s="38">
        <f t="shared" si="23"/>
        <v>0</v>
      </c>
      <c r="G62" s="38">
        <f t="shared" si="23"/>
        <v>0</v>
      </c>
    </row>
    <row r="63" spans="1:9" ht="15" hidden="1" customHeight="1">
      <c r="A63" t="s">
        <v>174</v>
      </c>
      <c r="B63" s="38">
        <f>B32-B43</f>
        <v>0</v>
      </c>
      <c r="C63" s="38">
        <f t="shared" ref="C63:G63" si="24">C32-C43</f>
        <v>0</v>
      </c>
      <c r="D63" s="38">
        <f t="shared" si="24"/>
        <v>0</v>
      </c>
      <c r="E63" s="38">
        <f t="shared" si="24"/>
        <v>0</v>
      </c>
      <c r="F63" s="38">
        <f t="shared" si="24"/>
        <v>0</v>
      </c>
      <c r="G63" s="38">
        <f t="shared" si="24"/>
        <v>0</v>
      </c>
    </row>
    <row r="64" spans="1:9" ht="15" hidden="1" customHeight="1">
      <c r="B64" s="38">
        <f>B33-B43</f>
        <v>0</v>
      </c>
      <c r="C64" s="38">
        <f t="shared" ref="C64:G64" si="25">C33-C43</f>
        <v>0</v>
      </c>
      <c r="D64" s="38">
        <f t="shared" si="25"/>
        <v>0</v>
      </c>
      <c r="E64" s="38">
        <f t="shared" si="25"/>
        <v>0</v>
      </c>
      <c r="F64" s="38">
        <f t="shared" si="25"/>
        <v>0</v>
      </c>
      <c r="G64" s="38">
        <f t="shared" si="25"/>
        <v>0</v>
      </c>
    </row>
    <row r="65" spans="1:7" ht="15" hidden="1" customHeight="1">
      <c r="B65" s="38">
        <f>B34-B43</f>
        <v>0</v>
      </c>
      <c r="C65" s="38">
        <f t="shared" ref="C65:G65" si="26">C34-C43</f>
        <v>0</v>
      </c>
      <c r="D65" s="38">
        <f t="shared" si="26"/>
        <v>0</v>
      </c>
      <c r="E65" s="38">
        <f t="shared" si="26"/>
        <v>0</v>
      </c>
      <c r="F65" s="38">
        <f t="shared" si="26"/>
        <v>0</v>
      </c>
      <c r="G65" s="38">
        <f t="shared" si="26"/>
        <v>0</v>
      </c>
    </row>
    <row r="66" spans="1:7" ht="15" hidden="1" customHeight="1">
      <c r="A66" t="s">
        <v>171</v>
      </c>
      <c r="B66" s="38">
        <f t="shared" ref="B66:G68" si="27">IF(B63&lt;0,B63*-1,B63)</f>
        <v>0</v>
      </c>
      <c r="C66" s="38">
        <f t="shared" si="27"/>
        <v>0</v>
      </c>
      <c r="D66" s="38">
        <f t="shared" si="27"/>
        <v>0</v>
      </c>
      <c r="E66" s="38">
        <f t="shared" si="27"/>
        <v>0</v>
      </c>
      <c r="F66" s="38">
        <f t="shared" si="27"/>
        <v>0</v>
      </c>
      <c r="G66" s="38">
        <f t="shared" si="27"/>
        <v>0</v>
      </c>
    </row>
    <row r="67" spans="1:7" ht="15" hidden="1" customHeight="1">
      <c r="B67" s="38">
        <f t="shared" si="27"/>
        <v>0</v>
      </c>
      <c r="C67" s="38">
        <f t="shared" si="27"/>
        <v>0</v>
      </c>
      <c r="D67" s="38">
        <f t="shared" si="27"/>
        <v>0</v>
      </c>
      <c r="E67" s="38">
        <f t="shared" si="27"/>
        <v>0</v>
      </c>
      <c r="F67" s="38">
        <f t="shared" si="27"/>
        <v>0</v>
      </c>
      <c r="G67" s="38">
        <f t="shared" si="27"/>
        <v>0</v>
      </c>
    </row>
    <row r="68" spans="1:7" ht="15" hidden="1" customHeight="1">
      <c r="B68" s="38">
        <f t="shared" si="27"/>
        <v>0</v>
      </c>
      <c r="C68" s="38">
        <f t="shared" si="27"/>
        <v>0</v>
      </c>
      <c r="D68" s="38">
        <f t="shared" si="27"/>
        <v>0</v>
      </c>
      <c r="E68" s="38">
        <f t="shared" si="27"/>
        <v>0</v>
      </c>
      <c r="F68" s="38">
        <f t="shared" si="27"/>
        <v>0</v>
      </c>
      <c r="G68" s="38">
        <f t="shared" si="27"/>
        <v>0</v>
      </c>
    </row>
    <row r="69" spans="1:7" ht="15" hidden="1" customHeight="1">
      <c r="A69" t="s">
        <v>172</v>
      </c>
      <c r="B69" s="38">
        <f>IF(B66&lt;B67,B67,B66)</f>
        <v>0</v>
      </c>
      <c r="C69" s="38">
        <f t="shared" ref="C69" si="28">IF(C66&lt;C67,C67,C66)</f>
        <v>0</v>
      </c>
      <c r="D69" s="38">
        <f>IF(D66&lt;D67,D67,D66)</f>
        <v>0</v>
      </c>
      <c r="E69" s="38">
        <f>IF(E66&lt;E67,E67,E66)</f>
        <v>0</v>
      </c>
      <c r="F69" s="38">
        <f>IF(F66&lt;F67,F67,F66)</f>
        <v>0</v>
      </c>
      <c r="G69" s="38">
        <f>IF(G66&lt;G67,G67,G66)</f>
        <v>0</v>
      </c>
    </row>
    <row r="70" spans="1:7" ht="15" hidden="1" customHeight="1">
      <c r="B70" s="38">
        <f>IF(B68&lt;B69,B69,B68)</f>
        <v>0</v>
      </c>
      <c r="C70" s="38">
        <f t="shared" ref="C70" si="29">IF(C68&lt;C69,C69,C68)</f>
        <v>0</v>
      </c>
      <c r="D70" s="38">
        <f>IF(D68&lt;D69,D69,D68)</f>
        <v>0</v>
      </c>
      <c r="E70" s="38">
        <f>IF(E68&lt;E69,E69,E68)</f>
        <v>0</v>
      </c>
      <c r="F70" s="38">
        <f>IF(F68&lt;F69,F69,F68)</f>
        <v>0</v>
      </c>
      <c r="G70" s="38">
        <f>IF(G68&lt;G69,G69,G68)</f>
        <v>0</v>
      </c>
    </row>
    <row r="71" spans="1:7" ht="15" customHeight="1">
      <c r="B71" s="38"/>
      <c r="C71" s="38"/>
      <c r="D71" s="38"/>
      <c r="E71" s="38"/>
      <c r="F71" s="38"/>
      <c r="G71" s="38"/>
    </row>
    <row r="72" spans="1:7" ht="15" customHeight="1">
      <c r="B72" s="38"/>
      <c r="C72" s="38"/>
      <c r="D72" s="38"/>
      <c r="E72" s="38"/>
      <c r="F72" s="38"/>
      <c r="G72" s="38"/>
    </row>
    <row r="73" spans="1:7" ht="15" customHeight="1">
      <c r="B73" s="38"/>
      <c r="C73" s="38"/>
      <c r="D73" s="38"/>
      <c r="E73" s="38"/>
      <c r="F73" s="38"/>
      <c r="G73" s="38"/>
    </row>
    <row r="74" spans="1:7" ht="15" customHeight="1"/>
    <row r="75" spans="1:7" ht="12.75" customHeight="1"/>
    <row r="76" spans="1:7" ht="20.100000000000001" customHeight="1">
      <c r="A76" s="18" t="s">
        <v>79</v>
      </c>
    </row>
    <row r="77" spans="1:7" ht="15" customHeight="1"/>
    <row r="78" spans="1:7">
      <c r="A78" s="1" t="s">
        <v>83</v>
      </c>
    </row>
    <row r="97" spans="1:1">
      <c r="A97" s="1"/>
    </row>
    <row r="115" spans="1:9">
      <c r="A115" s="5" t="s">
        <v>80</v>
      </c>
    </row>
    <row r="116" spans="1:9">
      <c r="C116" t="s">
        <v>81</v>
      </c>
      <c r="I116" t="s">
        <v>82</v>
      </c>
    </row>
  </sheetData>
  <pageMargins left="0.7" right="0.5" top="0.75" bottom="0.75" header="0.3" footer="0.3"/>
  <pageSetup scale="75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4"/>
  <sheetViews>
    <sheetView showGridLines="0" topLeftCell="A21" zoomScaleNormal="100" workbookViewId="0">
      <selection activeCell="A41" sqref="A41"/>
    </sheetView>
  </sheetViews>
  <sheetFormatPr defaultRowHeight="15"/>
  <sheetData>
    <row r="1" spans="1:1">
      <c r="A1" s="5" t="s">
        <v>99</v>
      </c>
    </row>
    <row r="3" spans="1:1">
      <c r="A3" t="s">
        <v>100</v>
      </c>
    </row>
    <row r="4" spans="1:1">
      <c r="A4" t="s">
        <v>236</v>
      </c>
    </row>
    <row r="5" spans="1:1">
      <c r="A5" t="s">
        <v>237</v>
      </c>
    </row>
    <row r="6" spans="1:1">
      <c r="A6" t="s">
        <v>238</v>
      </c>
    </row>
    <row r="7" spans="1:1">
      <c r="A7" t="s">
        <v>252</v>
      </c>
    </row>
    <row r="8" spans="1:1">
      <c r="A8" t="s">
        <v>245</v>
      </c>
    </row>
    <row r="10" spans="1:1">
      <c r="A10" t="s">
        <v>233</v>
      </c>
    </row>
    <row r="11" spans="1:1">
      <c r="A11" t="s">
        <v>260</v>
      </c>
    </row>
    <row r="12" spans="1:1">
      <c r="A12" t="s">
        <v>234</v>
      </c>
    </row>
    <row r="13" spans="1:1">
      <c r="A13" t="s">
        <v>235</v>
      </c>
    </row>
    <row r="15" spans="1:1">
      <c r="A15" t="s">
        <v>103</v>
      </c>
    </row>
    <row r="16" spans="1:1">
      <c r="A16" t="s">
        <v>104</v>
      </c>
    </row>
    <row r="17" spans="1:14">
      <c r="A17" t="s">
        <v>240</v>
      </c>
    </row>
    <row r="18" spans="1:14">
      <c r="A18" t="s">
        <v>274</v>
      </c>
    </row>
    <row r="19" spans="1:14">
      <c r="A19" t="s">
        <v>275</v>
      </c>
    </row>
    <row r="21" spans="1:14">
      <c r="A21" s="63" t="s">
        <v>239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>
      <c r="A22" s="63" t="s">
        <v>231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4">
      <c r="A23" s="63" t="s">
        <v>230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>
      <c r="A24" s="63" t="s">
        <v>206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6" spans="1:14">
      <c r="A26" t="s">
        <v>111</v>
      </c>
    </row>
    <row r="27" spans="1:14">
      <c r="A27" t="s">
        <v>128</v>
      </c>
    </row>
    <row r="28" spans="1:14">
      <c r="A28" t="s">
        <v>129</v>
      </c>
    </row>
    <row r="29" spans="1:14">
      <c r="A29" t="s">
        <v>156</v>
      </c>
    </row>
    <row r="31" spans="1:14">
      <c r="A31" s="5" t="s">
        <v>246</v>
      </c>
    </row>
    <row r="32" spans="1:14">
      <c r="A32" s="5"/>
    </row>
    <row r="33" spans="1:2">
      <c r="A33" s="63" t="s">
        <v>253</v>
      </c>
    </row>
    <row r="34" spans="1:2">
      <c r="A34" t="s">
        <v>247</v>
      </c>
    </row>
    <row r="35" spans="1:2">
      <c r="A35" t="s">
        <v>248</v>
      </c>
    </row>
    <row r="36" spans="1:2">
      <c r="A36" t="s">
        <v>249</v>
      </c>
    </row>
    <row r="37" spans="1:2">
      <c r="A37" t="s">
        <v>254</v>
      </c>
    </row>
    <row r="38" spans="1:2">
      <c r="A38" t="s">
        <v>250</v>
      </c>
    </row>
    <row r="39" spans="1:2">
      <c r="A39" t="s">
        <v>251</v>
      </c>
    </row>
    <row r="40" spans="1:2">
      <c r="A40" t="s">
        <v>286</v>
      </c>
    </row>
    <row r="42" spans="1:2">
      <c r="A42" s="5" t="s">
        <v>212</v>
      </c>
    </row>
    <row r="44" spans="1:2">
      <c r="A44" t="s">
        <v>214</v>
      </c>
    </row>
    <row r="45" spans="1:2">
      <c r="A45" s="34" t="s">
        <v>222</v>
      </c>
      <c r="B45" s="34"/>
    </row>
    <row r="46" spans="1:2">
      <c r="A46" t="s">
        <v>221</v>
      </c>
    </row>
    <row r="47" spans="1:2">
      <c r="A47" t="s">
        <v>269</v>
      </c>
    </row>
    <row r="49" spans="1:1">
      <c r="A49" t="s">
        <v>273</v>
      </c>
    </row>
    <row r="50" spans="1:1">
      <c r="A50" t="s">
        <v>270</v>
      </c>
    </row>
    <row r="51" spans="1:1">
      <c r="A51" t="s">
        <v>271</v>
      </c>
    </row>
    <row r="52" spans="1:1">
      <c r="A52" t="s">
        <v>272</v>
      </c>
    </row>
    <row r="54" spans="1:1">
      <c r="A54" t="s">
        <v>217</v>
      </c>
    </row>
    <row r="55" spans="1:1">
      <c r="A55" t="s">
        <v>213</v>
      </c>
    </row>
    <row r="56" spans="1:1">
      <c r="A56" t="s">
        <v>215</v>
      </c>
    </row>
    <row r="57" spans="1:1">
      <c r="A57" t="s">
        <v>216</v>
      </c>
    </row>
    <row r="59" spans="1:1">
      <c r="A59" t="s">
        <v>218</v>
      </c>
    </row>
    <row r="60" spans="1:1">
      <c r="A60" t="s">
        <v>219</v>
      </c>
    </row>
    <row r="61" spans="1:1">
      <c r="A61" t="s">
        <v>220</v>
      </c>
    </row>
    <row r="62" spans="1:1">
      <c r="A62" t="s">
        <v>223</v>
      </c>
    </row>
    <row r="63" spans="1:1">
      <c r="A63" t="s">
        <v>224</v>
      </c>
    </row>
    <row r="64" spans="1:1">
      <c r="A64" t="s">
        <v>225</v>
      </c>
    </row>
  </sheetData>
  <pageMargins left="0.7" right="0.7" top="0.75" bottom="0.75" header="0.3" footer="0.3"/>
  <pageSetup orientation="landscape" horizontalDpi="4294967293" verticalDpi="1200" r:id="rId1"/>
  <headerFooter>
    <oddHeader xml:space="preserve">&amp;C&amp;"-,Italic"Instructions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Above Ground Pumps</vt:lpstr>
      <vt:lpstr>Submersible Wastewater (1)</vt:lpstr>
      <vt:lpstr>Submersible Wastewater (2)</vt:lpstr>
      <vt:lpstr>Vertical Turbine</vt:lpstr>
      <vt:lpstr>Instructions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cp:lastPrinted>2010-10-12T17:47:36Z</cp:lastPrinted>
  <dcterms:created xsi:type="dcterms:W3CDTF">2010-07-29T20:44:37Z</dcterms:created>
  <dcterms:modified xsi:type="dcterms:W3CDTF">2014-04-04T17:32:07Z</dcterms:modified>
</cp:coreProperties>
</file>