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5" windowWidth="13095" windowHeight="8310" tabRatio="637"/>
  </bookViews>
  <sheets>
    <sheet name="VSPA" sheetId="1" r:id="rId1"/>
    <sheet name="Pump Head" sheetId="8" r:id="rId2"/>
    <sheet name="Pump Efficiency" sheetId="7" r:id="rId3"/>
    <sheet name="Pump BHP" sheetId="6" r:id="rId4"/>
    <sheet name="kWh per 1000 Gal" sheetId="9" r:id="rId5"/>
    <sheet name="Cost per 1000 Gal" sheetId="12" r:id="rId6"/>
    <sheet name="Useful Calculations" sheetId="10" r:id="rId7"/>
  </sheets>
  <definedNames>
    <definedName name="_xlnm.Print_Area" localSheetId="0">VSPA!$I$44:$X$130</definedName>
  </definedNames>
  <calcPr calcId="125725"/>
</workbook>
</file>

<file path=xl/calcChain.xml><?xml version="1.0" encoding="utf-8"?>
<calcChain xmlns="http://schemas.openxmlformats.org/spreadsheetml/2006/main">
  <c r="E14" i="10"/>
  <c r="E24" s="1"/>
  <c r="E13"/>
  <c r="E23" s="1"/>
  <c r="E12"/>
  <c r="E22" s="1"/>
  <c r="E11"/>
  <c r="E21" s="1"/>
  <c r="E10"/>
  <c r="E20" s="1"/>
  <c r="E9"/>
  <c r="E19" s="1"/>
  <c r="J13"/>
  <c r="J14" s="1"/>
  <c r="J15" s="1"/>
  <c r="J12"/>
  <c r="J6"/>
  <c r="J7" s="1"/>
  <c r="J8" s="1"/>
  <c r="J5"/>
  <c r="E8"/>
  <c r="E18" s="1"/>
  <c r="E5"/>
  <c r="P165" i="1"/>
  <c r="O165"/>
  <c r="N165"/>
  <c r="M165"/>
  <c r="L165"/>
  <c r="K165"/>
  <c r="J165"/>
  <c r="I165"/>
  <c r="C160"/>
  <c r="H160" s="1"/>
  <c r="C155"/>
  <c r="D155" s="1"/>
  <c r="C150"/>
  <c r="H150" s="1"/>
  <c r="C145"/>
  <c r="H145" s="1"/>
  <c r="C140"/>
  <c r="H140" s="1"/>
  <c r="C135"/>
  <c r="D135" s="1"/>
  <c r="M160"/>
  <c r="M135"/>
  <c r="AF133"/>
  <c r="AO133" s="1"/>
  <c r="AX133" s="1"/>
  <c r="AE133"/>
  <c r="AN133" s="1"/>
  <c r="AW133" s="1"/>
  <c r="AD133"/>
  <c r="AM133" s="1"/>
  <c r="AV133" s="1"/>
  <c r="AC133"/>
  <c r="AL133" s="1"/>
  <c r="AU133" s="1"/>
  <c r="AB133"/>
  <c r="AK133" s="1"/>
  <c r="AT133" s="1"/>
  <c r="AA133"/>
  <c r="AJ133" s="1"/>
  <c r="AS133" s="1"/>
  <c r="Z133"/>
  <c r="AI133" s="1"/>
  <c r="AR133" s="1"/>
  <c r="Y133"/>
  <c r="AH133" s="1"/>
  <c r="AQ133" s="1"/>
  <c r="C131"/>
  <c r="H131" s="1"/>
  <c r="C132"/>
  <c r="H132" s="1"/>
  <c r="C133"/>
  <c r="H133" s="1"/>
  <c r="C134"/>
  <c r="H134" s="1"/>
  <c r="C136"/>
  <c r="H136" s="1"/>
  <c r="C137"/>
  <c r="H137" s="1"/>
  <c r="C138"/>
  <c r="H138" s="1"/>
  <c r="C139"/>
  <c r="H139" s="1"/>
  <c r="C141"/>
  <c r="H141" s="1"/>
  <c r="C142"/>
  <c r="H142" s="1"/>
  <c r="C143"/>
  <c r="H143" s="1"/>
  <c r="C144"/>
  <c r="H144" s="1"/>
  <c r="C146"/>
  <c r="H146" s="1"/>
  <c r="C147"/>
  <c r="H147" s="1"/>
  <c r="C148"/>
  <c r="H148" s="1"/>
  <c r="C149"/>
  <c r="H149" s="1"/>
  <c r="C151"/>
  <c r="H151" s="1"/>
  <c r="C152"/>
  <c r="H152" s="1"/>
  <c r="C153"/>
  <c r="H153" s="1"/>
  <c r="C154"/>
  <c r="H154" s="1"/>
  <c r="C156"/>
  <c r="H156" s="1"/>
  <c r="C157"/>
  <c r="H157" s="1"/>
  <c r="C158"/>
  <c r="H158" s="1"/>
  <c r="C159"/>
  <c r="H159" s="1"/>
  <c r="O156"/>
  <c r="N154"/>
  <c r="M148"/>
  <c r="L146"/>
  <c r="L137"/>
  <c r="K149"/>
  <c r="K144"/>
  <c r="K139"/>
  <c r="K134"/>
  <c r="K133"/>
  <c r="K132"/>
  <c r="J152"/>
  <c r="J147"/>
  <c r="J142"/>
  <c r="J141"/>
  <c r="J139"/>
  <c r="J138"/>
  <c r="J137"/>
  <c r="J136"/>
  <c r="J134"/>
  <c r="J133"/>
  <c r="I132"/>
  <c r="B13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C17"/>
  <c r="M132"/>
  <c r="M134"/>
  <c r="M142"/>
  <c r="M144"/>
  <c r="M152"/>
  <c r="M154"/>
  <c r="N136"/>
  <c r="N138"/>
  <c r="N146"/>
  <c r="N148"/>
  <c r="N156"/>
  <c r="N158"/>
  <c r="O132"/>
  <c r="O134"/>
  <c r="O142"/>
  <c r="O144"/>
  <c r="O152"/>
  <c r="O154"/>
  <c r="D158"/>
  <c r="W158" s="1"/>
  <c r="D156"/>
  <c r="E156" s="1"/>
  <c r="D154"/>
  <c r="E154" s="1"/>
  <c r="D152"/>
  <c r="V152" s="1"/>
  <c r="D148"/>
  <c r="E148" s="1"/>
  <c r="D146"/>
  <c r="E146" s="1"/>
  <c r="D144"/>
  <c r="V144" s="1"/>
  <c r="D142"/>
  <c r="V142" s="1"/>
  <c r="D138"/>
  <c r="E138" s="1"/>
  <c r="D136"/>
  <c r="E136" s="1"/>
  <c r="D134"/>
  <c r="E134" s="1"/>
  <c r="D132"/>
  <c r="V132" s="1"/>
  <c r="U142"/>
  <c r="P146"/>
  <c r="W152"/>
  <c r="R152"/>
  <c r="W156"/>
  <c r="V156"/>
  <c r="T156"/>
  <c r="V154"/>
  <c r="Q146" l="1"/>
  <c r="Q142"/>
  <c r="E142"/>
  <c r="I143"/>
  <c r="R158"/>
  <c r="J144"/>
  <c r="J149"/>
  <c r="J157"/>
  <c r="K137"/>
  <c r="K142"/>
  <c r="K147"/>
  <c r="L134"/>
  <c r="L139"/>
  <c r="I152"/>
  <c r="W136"/>
  <c r="E158"/>
  <c r="U134"/>
  <c r="I133"/>
  <c r="K157"/>
  <c r="Q136"/>
  <c r="T132"/>
  <c r="S132"/>
  <c r="S156"/>
  <c r="P156"/>
  <c r="S152"/>
  <c r="P152"/>
  <c r="E152"/>
  <c r="R146"/>
  <c r="W146"/>
  <c r="T142"/>
  <c r="S142"/>
  <c r="P136"/>
  <c r="T136"/>
  <c r="Q132"/>
  <c r="U132"/>
  <c r="E132"/>
  <c r="L133"/>
  <c r="L136"/>
  <c r="L138"/>
  <c r="L141"/>
  <c r="L151"/>
  <c r="I148"/>
  <c r="I138"/>
  <c r="K131"/>
  <c r="T144"/>
  <c r="J154"/>
  <c r="J159"/>
  <c r="K152"/>
  <c r="N134"/>
  <c r="J140"/>
  <c r="V158"/>
  <c r="P154"/>
  <c r="Q148"/>
  <c r="U138"/>
  <c r="J143"/>
  <c r="J146"/>
  <c r="J148"/>
  <c r="J151"/>
  <c r="J153"/>
  <c r="J156"/>
  <c r="J158"/>
  <c r="L143"/>
  <c r="L148"/>
  <c r="I146"/>
  <c r="I141"/>
  <c r="I136"/>
  <c r="I131"/>
  <c r="N131"/>
  <c r="O138"/>
  <c r="M150"/>
  <c r="S158"/>
  <c r="U158"/>
  <c r="R154"/>
  <c r="W154"/>
  <c r="R148"/>
  <c r="W148"/>
  <c r="Q144"/>
  <c r="R138"/>
  <c r="K154"/>
  <c r="K159"/>
  <c r="L142"/>
  <c r="L144"/>
  <c r="L147"/>
  <c r="L149"/>
  <c r="L157"/>
  <c r="I149"/>
  <c r="I147"/>
  <c r="I144"/>
  <c r="I142"/>
  <c r="I139"/>
  <c r="I137"/>
  <c r="I134"/>
  <c r="J131"/>
  <c r="L131"/>
  <c r="M133"/>
  <c r="N133"/>
  <c r="N139"/>
  <c r="O133"/>
  <c r="D133"/>
  <c r="S133" s="1"/>
  <c r="O140"/>
  <c r="I160"/>
  <c r="P158"/>
  <c r="Q158"/>
  <c r="T158"/>
  <c r="Q154"/>
  <c r="T154"/>
  <c r="U154"/>
  <c r="S154"/>
  <c r="P148"/>
  <c r="T148"/>
  <c r="S144"/>
  <c r="U144"/>
  <c r="E144"/>
  <c r="Q138"/>
  <c r="S134"/>
  <c r="J132"/>
  <c r="K136"/>
  <c r="K138"/>
  <c r="K141"/>
  <c r="K143"/>
  <c r="K146"/>
  <c r="K148"/>
  <c r="K151"/>
  <c r="K153"/>
  <c r="K156"/>
  <c r="K158"/>
  <c r="L132"/>
  <c r="L153"/>
  <c r="I158"/>
  <c r="M141"/>
  <c r="M156"/>
  <c r="N143"/>
  <c r="O148"/>
  <c r="N145"/>
  <c r="J155"/>
  <c r="S148"/>
  <c r="V148"/>
  <c r="U148"/>
  <c r="R144"/>
  <c r="P144"/>
  <c r="W144"/>
  <c r="T138"/>
  <c r="S138"/>
  <c r="V138"/>
  <c r="W138"/>
  <c r="R134"/>
  <c r="L152"/>
  <c r="L154"/>
  <c r="L159"/>
  <c r="I154"/>
  <c r="T133"/>
  <c r="M146"/>
  <c r="N141"/>
  <c r="N152"/>
  <c r="O143"/>
  <c r="J145"/>
  <c r="I150"/>
  <c r="L150"/>
  <c r="K160"/>
  <c r="O160"/>
  <c r="D150"/>
  <c r="P150" s="1"/>
  <c r="P138"/>
  <c r="Q134"/>
  <c r="T134"/>
  <c r="L156"/>
  <c r="I156"/>
  <c r="I153"/>
  <c r="I151"/>
  <c r="M131"/>
  <c r="O131"/>
  <c r="M136"/>
  <c r="M153"/>
  <c r="N132"/>
  <c r="N149"/>
  <c r="N153"/>
  <c r="O153"/>
  <c r="D131"/>
  <c r="I135"/>
  <c r="K140"/>
  <c r="N140"/>
  <c r="W150"/>
  <c r="N155"/>
  <c r="D140"/>
  <c r="S140" s="1"/>
  <c r="V134"/>
  <c r="M151"/>
  <c r="N151"/>
  <c r="N159"/>
  <c r="O136"/>
  <c r="O151"/>
  <c r="D151"/>
  <c r="E151" s="1"/>
  <c r="E133"/>
  <c r="I140"/>
  <c r="L140"/>
  <c r="M140"/>
  <c r="J150"/>
  <c r="K150"/>
  <c r="N150"/>
  <c r="O150"/>
  <c r="J160"/>
  <c r="L160"/>
  <c r="N160"/>
  <c r="D153"/>
  <c r="O158"/>
  <c r="E153"/>
  <c r="D141"/>
  <c r="D160"/>
  <c r="D159"/>
  <c r="E159" s="1"/>
  <c r="D147"/>
  <c r="S147" s="1"/>
  <c r="D143"/>
  <c r="U143" s="1"/>
  <c r="D139"/>
  <c r="E139" s="1"/>
  <c r="Q156"/>
  <c r="R156"/>
  <c r="U156"/>
  <c r="Q152"/>
  <c r="T152"/>
  <c r="U152"/>
  <c r="S146"/>
  <c r="V146"/>
  <c r="T146"/>
  <c r="U146"/>
  <c r="R142"/>
  <c r="P142"/>
  <c r="W142"/>
  <c r="R136"/>
  <c r="S136"/>
  <c r="V136"/>
  <c r="U136"/>
  <c r="R132"/>
  <c r="P132"/>
  <c r="W132"/>
  <c r="T143"/>
  <c r="M138"/>
  <c r="M143"/>
  <c r="M158"/>
  <c r="N142"/>
  <c r="N144"/>
  <c r="O141"/>
  <c r="O146"/>
  <c r="D157"/>
  <c r="S157" s="1"/>
  <c r="D149"/>
  <c r="E149" s="1"/>
  <c r="E141"/>
  <c r="D137"/>
  <c r="E137" s="1"/>
  <c r="K135"/>
  <c r="L145"/>
  <c r="L155"/>
  <c r="P135"/>
  <c r="W135"/>
  <c r="E135"/>
  <c r="U135"/>
  <c r="T135"/>
  <c r="R135"/>
  <c r="Q135"/>
  <c r="S135"/>
  <c r="V135"/>
  <c r="V155"/>
  <c r="T155"/>
  <c r="R155"/>
  <c r="Q155"/>
  <c r="E155"/>
  <c r="S155"/>
  <c r="W155"/>
  <c r="P155"/>
  <c r="U155"/>
  <c r="H135"/>
  <c r="H155"/>
  <c r="P134"/>
  <c r="W134"/>
  <c r="L158"/>
  <c r="I159"/>
  <c r="I157"/>
  <c r="M137"/>
  <c r="M139"/>
  <c r="M147"/>
  <c r="M149"/>
  <c r="M157"/>
  <c r="M159"/>
  <c r="N137"/>
  <c r="N147"/>
  <c r="N157"/>
  <c r="O137"/>
  <c r="O139"/>
  <c r="O147"/>
  <c r="O149"/>
  <c r="O157"/>
  <c r="O159"/>
  <c r="J135"/>
  <c r="L135"/>
  <c r="N135"/>
  <c r="O135"/>
  <c r="I145"/>
  <c r="K145"/>
  <c r="M145"/>
  <c r="O145"/>
  <c r="I155"/>
  <c r="K155"/>
  <c r="M155"/>
  <c r="O155"/>
  <c r="D145"/>
  <c r="Y135" l="1"/>
  <c r="AH135" s="1"/>
  <c r="AQ135" s="1"/>
  <c r="Q147"/>
  <c r="W133"/>
  <c r="R133"/>
  <c r="U133"/>
  <c r="P133"/>
  <c r="V133"/>
  <c r="Q133"/>
  <c r="E147"/>
  <c r="AF150"/>
  <c r="AO150" s="1"/>
  <c r="AX150" s="1"/>
  <c r="U150"/>
  <c r="Q150"/>
  <c r="T150"/>
  <c r="S150"/>
  <c r="E150"/>
  <c r="R150"/>
  <c r="AA150" s="1"/>
  <c r="AJ150" s="1"/>
  <c r="AS150" s="1"/>
  <c r="V150"/>
  <c r="E157"/>
  <c r="W140"/>
  <c r="U140"/>
  <c r="E140"/>
  <c r="R140"/>
  <c r="V140"/>
  <c r="P140"/>
  <c r="Q140"/>
  <c r="Z140" s="1"/>
  <c r="AI140" s="1"/>
  <c r="AR140" s="1"/>
  <c r="T140"/>
  <c r="AC140" s="1"/>
  <c r="AL140" s="1"/>
  <c r="AU140" s="1"/>
  <c r="E131"/>
  <c r="W131"/>
  <c r="Q131"/>
  <c r="S131"/>
  <c r="V131"/>
  <c r="U131"/>
  <c r="P131"/>
  <c r="R131"/>
  <c r="T131"/>
  <c r="AD155"/>
  <c r="AM155" s="1"/>
  <c r="AV155" s="1"/>
  <c r="AA135"/>
  <c r="AJ135" s="1"/>
  <c r="AS135" s="1"/>
  <c r="Y150"/>
  <c r="AH150" s="1"/>
  <c r="AQ150" s="1"/>
  <c r="T151"/>
  <c r="S151"/>
  <c r="V151"/>
  <c r="W151"/>
  <c r="U151"/>
  <c r="P151"/>
  <c r="R151"/>
  <c r="Q151"/>
  <c r="Z155"/>
  <c r="AI155" s="1"/>
  <c r="AR155" s="1"/>
  <c r="Y155"/>
  <c r="AH155" s="1"/>
  <c r="AQ155" s="1"/>
  <c r="AB140"/>
  <c r="AK140" s="1"/>
  <c r="AT140" s="1"/>
  <c r="U153"/>
  <c r="S153"/>
  <c r="V153"/>
  <c r="W153"/>
  <c r="P153"/>
  <c r="T153"/>
  <c r="R153"/>
  <c r="Q153"/>
  <c r="AF155"/>
  <c r="AO155" s="1"/>
  <c r="AX155" s="1"/>
  <c r="AF135"/>
  <c r="AO135" s="1"/>
  <c r="AX135" s="1"/>
  <c r="AC135"/>
  <c r="AL135" s="1"/>
  <c r="AU135" s="1"/>
  <c r="E143"/>
  <c r="P141"/>
  <c r="W141"/>
  <c r="U141"/>
  <c r="T141"/>
  <c r="S141"/>
  <c r="R141"/>
  <c r="V141"/>
  <c r="Q141"/>
  <c r="U160"/>
  <c r="P160"/>
  <c r="R160"/>
  <c r="V160"/>
  <c r="W160"/>
  <c r="S160"/>
  <c r="E160"/>
  <c r="Q160"/>
  <c r="T160"/>
  <c r="W143"/>
  <c r="S143"/>
  <c r="V143"/>
  <c r="P143"/>
  <c r="R143"/>
  <c r="Q143"/>
  <c r="S159"/>
  <c r="R159"/>
  <c r="T159"/>
  <c r="V159"/>
  <c r="Q159"/>
  <c r="P159"/>
  <c r="U159"/>
  <c r="W159"/>
  <c r="T139"/>
  <c r="V139"/>
  <c r="Q139"/>
  <c r="S139"/>
  <c r="R139"/>
  <c r="P139"/>
  <c r="U139"/>
  <c r="W139"/>
  <c r="V147"/>
  <c r="R147"/>
  <c r="P147"/>
  <c r="U147"/>
  <c r="W147"/>
  <c r="T147"/>
  <c r="V137"/>
  <c r="S137"/>
  <c r="R137"/>
  <c r="U137"/>
  <c r="T137"/>
  <c r="P137"/>
  <c r="W137"/>
  <c r="V157"/>
  <c r="U157"/>
  <c r="R157"/>
  <c r="T157"/>
  <c r="P157"/>
  <c r="W157"/>
  <c r="R149"/>
  <c r="S149"/>
  <c r="T149"/>
  <c r="P149"/>
  <c r="W149"/>
  <c r="V149"/>
  <c r="Q149"/>
  <c r="U149"/>
  <c r="AB155"/>
  <c r="AK155" s="1"/>
  <c r="AT155" s="1"/>
  <c r="Q137"/>
  <c r="Q157"/>
  <c r="AA155"/>
  <c r="AJ155" s="1"/>
  <c r="AS155" s="1"/>
  <c r="V145"/>
  <c r="T145"/>
  <c r="R145"/>
  <c r="Q145"/>
  <c r="E145"/>
  <c r="P145"/>
  <c r="U145"/>
  <c r="S145"/>
  <c r="W145"/>
  <c r="AC155"/>
  <c r="AL155" s="1"/>
  <c r="AU155" s="1"/>
  <c r="AB135"/>
  <c r="AK135" s="1"/>
  <c r="AT135" s="1"/>
  <c r="Z145"/>
  <c r="AI145" s="1"/>
  <c r="AR145" s="1"/>
  <c r="AE135"/>
  <c r="AN135" s="1"/>
  <c r="AW135" s="1"/>
  <c r="Z135"/>
  <c r="AI135" s="1"/>
  <c r="AR135" s="1"/>
  <c r="AE155"/>
  <c r="AN155" s="1"/>
  <c r="AW155" s="1"/>
  <c r="AD135"/>
  <c r="AM135" s="1"/>
  <c r="AV135" s="1"/>
  <c r="Z150" l="1"/>
  <c r="AI150" s="1"/>
  <c r="AR150" s="1"/>
  <c r="AC150"/>
  <c r="AL150" s="1"/>
  <c r="AU150" s="1"/>
  <c r="AD150"/>
  <c r="AM150" s="1"/>
  <c r="AV150" s="1"/>
  <c r="AB150"/>
  <c r="AK150" s="1"/>
  <c r="AT150" s="1"/>
  <c r="AE150"/>
  <c r="AN150" s="1"/>
  <c r="AW150" s="1"/>
  <c r="Y140"/>
  <c r="AH140" s="1"/>
  <c r="AQ140" s="1"/>
  <c r="AA140"/>
  <c r="AJ140" s="1"/>
  <c r="AS140" s="1"/>
  <c r="AD140"/>
  <c r="AM140" s="1"/>
  <c r="AV140" s="1"/>
  <c r="AE140"/>
  <c r="AN140" s="1"/>
  <c r="AW140" s="1"/>
  <c r="AF140"/>
  <c r="AO140" s="1"/>
  <c r="AX140" s="1"/>
  <c r="AD145"/>
  <c r="AM145" s="1"/>
  <c r="AV145" s="1"/>
  <c r="AC160"/>
  <c r="AL160" s="1"/>
  <c r="AU160" s="1"/>
  <c r="AF160"/>
  <c r="AO160" s="1"/>
  <c r="AX160" s="1"/>
  <c r="AA160"/>
  <c r="AJ160" s="1"/>
  <c r="AS160" s="1"/>
  <c r="AD160"/>
  <c r="AM160" s="1"/>
  <c r="AV160" s="1"/>
  <c r="AB145"/>
  <c r="AK145" s="1"/>
  <c r="AT145" s="1"/>
  <c r="Z160"/>
  <c r="AI160" s="1"/>
  <c r="AR160" s="1"/>
  <c r="AB160"/>
  <c r="AK160" s="1"/>
  <c r="AT160" s="1"/>
  <c r="AE160"/>
  <c r="AN160" s="1"/>
  <c r="AW160" s="1"/>
  <c r="Y160"/>
  <c r="AH160" s="1"/>
  <c r="AQ160" s="1"/>
  <c r="Y145"/>
  <c r="AH145" s="1"/>
  <c r="AQ145" s="1"/>
  <c r="AC145"/>
  <c r="AL145" s="1"/>
  <c r="AU145" s="1"/>
  <c r="AA145"/>
  <c r="AJ145" s="1"/>
  <c r="AS145" s="1"/>
  <c r="AE145"/>
  <c r="AN145" s="1"/>
  <c r="AW145" s="1"/>
  <c r="AF145"/>
  <c r="AO145" s="1"/>
  <c r="AX145" s="1"/>
</calcChain>
</file>

<file path=xl/sharedStrings.xml><?xml version="1.0" encoding="utf-8"?>
<sst xmlns="http://schemas.openxmlformats.org/spreadsheetml/2006/main" count="175" uniqueCount="155">
  <si>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</si>
  <si>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</si>
  <si>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</si>
  <si>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</si>
  <si>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</si>
  <si>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</si>
  <si>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</si>
  <si>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</si>
  <si>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</si>
  <si>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</si>
  <si>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</si>
  <si>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</si>
  <si>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</si>
  <si>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</si>
  <si>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</si>
  <si>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</si>
  <si>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</si>
  <si>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</si>
  <si>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</si>
  <si>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</si>
  <si>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</si>
  <si>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</si>
  <si>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 xml:space="preserve">will be displayed.  Note that the </t>
  </si>
  <si>
    <t>SH1</t>
  </si>
  <si>
    <t>SH2</t>
  </si>
  <si>
    <t>SH3</t>
  </si>
  <si>
    <t>SH4</t>
  </si>
  <si>
    <t>SH5</t>
  </si>
  <si>
    <t>SH6</t>
  </si>
  <si>
    <t>SH7</t>
  </si>
  <si>
    <t>SH8</t>
  </si>
  <si>
    <t>Ef 1</t>
  </si>
  <si>
    <t>Ef 2</t>
  </si>
  <si>
    <t>Ef 3</t>
  </si>
  <si>
    <t>Ef 4</t>
  </si>
  <si>
    <t>Ef 5</t>
  </si>
  <si>
    <t>Ef 6</t>
  </si>
  <si>
    <t>Ef 7</t>
  </si>
  <si>
    <t>Ef 8</t>
  </si>
  <si>
    <t>Step 1</t>
  </si>
  <si>
    <t>Enter the pump description as you would like it to appear on the charts.</t>
  </si>
  <si>
    <t>Step 2</t>
  </si>
  <si>
    <t>Auto Plot requires that you enter eight, 60 Hz operating points in the row with the yellow background.  Flows are entered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</si>
  <si>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</si>
  <si>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</si>
  <si>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59 - 30 Hz, however, Auto Plot displays the curves in 5hz increments (i.e. 55, 50, 45, etc).  The labels displayed at each</t>
  </si>
  <si>
    <t>Step 3</t>
  </si>
  <si>
    <t>Step 4</t>
  </si>
  <si>
    <t>The Example</t>
  </si>
  <si>
    <t>Joe Evans, Ph.D   10/1/2010</t>
  </si>
  <si>
    <t>http://www.PumpEd101.com</t>
  </si>
  <si>
    <t>Follow the steps below to view the operating characteristics and potential power savings of a centrifugal pump under VFD control.</t>
  </si>
  <si>
    <r>
      <t>1)</t>
    </r>
    <r>
      <rPr>
        <sz val="10"/>
        <rFont val="Arial"/>
      </rPr>
      <t xml:space="preserve">  Enter the pump description in the yellow box to the right</t>
    </r>
  </si>
  <si>
    <t>VSPA Instructions</t>
  </si>
  <si>
    <r>
      <t>2)</t>
    </r>
    <r>
      <rPr>
        <sz val="10"/>
        <rFont val="Arial"/>
      </rPr>
      <t xml:space="preserve">  Enter eight 60 hertz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 xml:space="preserve"> </t>
    </r>
  </si>
  <si>
    <t>Qd</t>
  </si>
  <si>
    <t>Hd</t>
  </si>
  <si>
    <t>Efd</t>
  </si>
  <si>
    <t>Qb</t>
  </si>
  <si>
    <t>Hb</t>
  </si>
  <si>
    <t>Efb</t>
  </si>
  <si>
    <r>
      <t>7)</t>
    </r>
    <r>
      <rPr>
        <sz val="10"/>
        <rFont val="Arial"/>
      </rPr>
      <t xml:space="preserve">  To plot a system or constant pressure curve, enter the</t>
    </r>
  </si>
  <si>
    <r>
      <t xml:space="preserve">     Enter the corresponding heads (in ft) in </t>
    </r>
    <r>
      <rPr>
        <sz val="10"/>
        <color rgb="FFFF0000"/>
        <rFont val="Arial"/>
        <family val="2"/>
      </rPr>
      <t>H1 - H8</t>
    </r>
  </si>
  <si>
    <r>
      <rPr>
        <sz val="10"/>
        <color theme="0"/>
        <rFont val="Arial"/>
        <family val="2"/>
      </rPr>
      <t>2)</t>
    </r>
    <r>
      <rPr>
        <sz val="10"/>
        <rFont val="Arial"/>
        <family val="2"/>
      </rPr>
      <t xml:space="preserve">  See instructions for fewer than eight points</t>
    </r>
  </si>
  <si>
    <t>Efm</t>
  </si>
  <si>
    <r>
      <t xml:space="preserve">     system heads (in ft) in </t>
    </r>
    <r>
      <rPr>
        <sz val="10"/>
        <color rgb="FFFF0000"/>
        <rFont val="Arial"/>
        <family val="2"/>
      </rPr>
      <t xml:space="preserve">SH1 - SH8 </t>
    </r>
    <r>
      <rPr>
        <sz val="10"/>
        <rFont val="Arial"/>
        <family val="2"/>
      </rPr>
      <t>that correspond to the</t>
    </r>
  </si>
  <si>
    <r>
      <t xml:space="preserve">    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>. (See Instructions below)</t>
    </r>
  </si>
  <si>
    <t>% Eff</t>
  </si>
  <si>
    <t>HP Calculations</t>
  </si>
  <si>
    <t>kW / 1000 gal Calculations</t>
  </si>
  <si>
    <t>Specific Speed (Ns)</t>
  </si>
  <si>
    <t>RPM</t>
  </si>
  <si>
    <r>
      <rPr>
        <b/>
        <sz val="10"/>
        <color rgb="FFFF0000"/>
        <rFont val="Arial"/>
        <family val="2"/>
      </rPr>
      <t>4)</t>
    </r>
    <r>
      <rPr>
        <sz val="10"/>
        <rFont val="Arial"/>
      </rPr>
      <t xml:space="preserve">  Enter the design point flow, head &amp; Ef (.xx) in </t>
    </r>
    <r>
      <rPr>
        <sz val="10"/>
        <color rgb="FFFF0000"/>
        <rFont val="Arial"/>
        <family val="2"/>
      </rPr>
      <t>Qd, Hd &amp; Efd</t>
    </r>
  </si>
  <si>
    <r>
      <t>3)</t>
    </r>
    <r>
      <rPr>
        <sz val="10"/>
        <rFont val="Arial"/>
      </rPr>
      <t xml:space="preserve">  Enter the pump's hydraulic efficiencies (.xx) in </t>
    </r>
    <r>
      <rPr>
        <sz val="10"/>
        <color rgb="FFFF0000"/>
        <rFont val="Arial"/>
        <family val="2"/>
      </rPr>
      <t>Ef 1 - Ef 8</t>
    </r>
  </si>
  <si>
    <r>
      <t xml:space="preserve">     that correspond to the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>.</t>
    </r>
  </si>
  <si>
    <r>
      <rPr>
        <b/>
        <sz val="10"/>
        <color rgb="FFFF0000"/>
        <rFont val="Arial"/>
        <family val="2"/>
      </rPr>
      <t>5)</t>
    </r>
    <r>
      <rPr>
        <sz val="10"/>
        <rFont val="Arial"/>
        <family val="2"/>
      </rPr>
      <t xml:space="preserve">  Enter BEP Q, H, Ef (.xx) &amp; NPSHr in </t>
    </r>
    <r>
      <rPr>
        <sz val="10"/>
        <color rgb="FFFF0000"/>
        <rFont val="Arial"/>
        <family val="2"/>
      </rPr>
      <t>Qb, Hb, Efb &amp; Nrb</t>
    </r>
  </si>
  <si>
    <t>Nrb</t>
  </si>
  <si>
    <t>Suction Energy (SE)</t>
  </si>
  <si>
    <t>General</t>
  </si>
  <si>
    <t>BEP</t>
  </si>
  <si>
    <t>Pump Efficiency</t>
  </si>
  <si>
    <t>Pump BHP</t>
  </si>
  <si>
    <t>Cost per 1000 Gallons Pumped</t>
  </si>
  <si>
    <t>Design Point</t>
  </si>
  <si>
    <t>Useful Calculations</t>
  </si>
  <si>
    <r>
      <rPr>
        <b/>
        <sz val="10"/>
        <color rgb="FFFF0000"/>
        <rFont val="Arial"/>
        <family val="2"/>
      </rPr>
      <t>6)</t>
    </r>
    <r>
      <rPr>
        <sz val="10"/>
        <rFont val="Arial"/>
      </rPr>
      <t xml:space="preserve">  Enter motor efficiency (.xx) in </t>
    </r>
    <r>
      <rPr>
        <sz val="10"/>
        <color rgb="FFFF0000"/>
        <rFont val="Arial"/>
        <family val="2"/>
      </rPr>
      <t>Efm,</t>
    </r>
    <r>
      <rPr>
        <sz val="10"/>
        <rFont val="Arial"/>
        <family val="2"/>
      </rPr>
      <t xml:space="preserve"> speed (RPM) in</t>
    </r>
    <r>
      <rPr>
        <sz val="10"/>
        <color rgb="FFFF0000"/>
        <rFont val="Arial"/>
        <family val="2"/>
      </rPr>
      <t xml:space="preserve"> RPM</t>
    </r>
    <r>
      <rPr>
        <sz val="10"/>
        <rFont val="Arial"/>
        <family val="2"/>
      </rPr>
      <t xml:space="preserve"> </t>
    </r>
  </si>
  <si>
    <t>$/kWH</t>
  </si>
  <si>
    <t>$$ / 1000 gal Calculations</t>
  </si>
  <si>
    <t>Cornell 5RB 1780 RPM 13.5" Trim</t>
  </si>
  <si>
    <t>The Variable Speed Pump Analysis spreadsheet produces five charts that will allow you to evaluate the performance of a pump and</t>
  </si>
  <si>
    <t>its H/Q in a particular application. Pump Head and Pump Efficiency will show you how well the curve will meet your desired flow</t>
  </si>
  <si>
    <t xml:space="preserve">range.  Pump BHP, kW per 1000 gal and Cost per 1000 gal will allow you to evaluate power consumption and savings. The </t>
  </si>
  <si>
    <t>Useful Calculations tab automatically computes Specific Speed, Suction Specific Speed, and several conditions at BEP and</t>
  </si>
  <si>
    <t>the design point.   Once you have decided on the best pump, download VFPPA from my web site and use it to determine</t>
  </si>
  <si>
    <t>whether individual or synchronous speed control is best for multiple pump operation.</t>
  </si>
  <si>
    <r>
      <t xml:space="preserve">xy intercept on the head / capacity curves is differenc for each chart that is plotted.  </t>
    </r>
    <r>
      <rPr>
        <sz val="10"/>
        <color indexed="10"/>
        <rFont val="Arial"/>
        <family val="2"/>
      </rPr>
      <t>*</t>
    </r>
    <r>
      <rPr>
        <sz val="10"/>
        <rFont val="Arial"/>
      </rPr>
      <t xml:space="preserve">If you wish to enter fewer than eight </t>
    </r>
  </si>
  <si>
    <t>points, enter the last point multiple times.  For example if you have only six points, enter the data in Q6/H6 again in both</t>
  </si>
  <si>
    <t>Q7/H7 and Q8/H8.  The same will hold true for Steps 3 &amp; 7.</t>
  </si>
  <si>
    <t>Enter the design point flow, head and hydraulic efficiency in the proper cells.  Enter efficiency as a decimal.</t>
  </si>
  <si>
    <t>Step 5</t>
  </si>
  <si>
    <t>Enter the Best Efficiency Point flow, head and hydraulic efficiency in the proper cells.  Enter efficiency as a decimal.</t>
  </si>
  <si>
    <t>Enter the electric motor efficiency, speed in RPM and the cost per kilowatt hour charged by the local utility.</t>
  </si>
  <si>
    <t>Enter efficiency and kWH cost as a decimal.  Three decimal places are provided for cost as many utilitiy rates</t>
  </si>
  <si>
    <t>include a fraction of a cent.</t>
  </si>
  <si>
    <t>Step 6</t>
  </si>
  <si>
    <t>Step 7</t>
  </si>
  <si>
    <t xml:space="preserve">Generate a system curve for the application and enter the values in SH1 through SH8.  These may be a flat curve for </t>
  </si>
  <si>
    <t>pressure booster applications or a combination of static head and friction.  Calculate the system head for each flow</t>
  </si>
  <si>
    <t>point Q1 through Q8.  If you are entering fewer than 8 points follow the directions in Step 2</t>
  </si>
  <si>
    <t>Enter the pump's hydraulic efficiency in Ef1 through Ef8.  Enter the value as a decimal.  When entering fewer</t>
  </si>
  <si>
    <t>than 8 points, follow the directions in Step 2.</t>
  </si>
  <si>
    <t>The VSPA example shows a pump operating at a static head of 125' and additional friction head that kicks in at flows</t>
  </si>
  <si>
    <t>over 1000 gpm.  The max flow design point is 1850 gpm @ 140' which is to the right of BEP but within the acceptable</t>
  </si>
  <si>
    <t>The "Pump Head" chart shows that the pump will produce 1000 to 1850gpm over a speed range of 50 to 60hz.  This</t>
  </si>
  <si>
    <t>10hz range is more than adequate to keep the VFD from "hunting".  If it were only 5hz you would probably want to</t>
  </si>
  <si>
    <t>evaluate another pump.</t>
  </si>
  <si>
    <t>The "Pump Efficiency" chart shows the slope of the efficiency isomers at each flow point.  At a low flow of 1000gpm</t>
  </si>
  <si>
    <t>hydraulic efficiency is 84% and at max flow it is 85%.  At intermediate flows it is 86%.  This wide efficiency range</t>
  </si>
  <si>
    <t>will makes this pump a good choice.  Even at a flow of 800gpm it still maintains 80% efficiency.</t>
  </si>
  <si>
    <t>The "Pump BHP" chart shows the hp required across the pumping range and also shows the hp savings obtained</t>
  </si>
  <si>
    <t>through variable speed vs a control valve.  Variable speed hp ranges from 39 to 76 while control valve hp ranges</t>
  </si>
  <si>
    <t>from 59 to 76.  Even at 1500gpm there is a 15hp reduction with variable speed vs a control valve.</t>
  </si>
  <si>
    <t>ranges from 0.51 kW at 1000gpm to about 0.57 kW at full flow.</t>
  </si>
  <si>
    <t>The "kW per 1000 Gal" chart takes BHP a step further and shows the energy required to pump 1000 gallons.  It</t>
  </si>
  <si>
    <t>The "Cost per 1000 Gal" chart shows the actual cost to pump 1000 gallons at various points based upon the utility</t>
  </si>
  <si>
    <t>kWH charge that was entered.  It ranges from $0.051 at 1000gpm to $0.057 at full flow.</t>
  </si>
  <si>
    <t>The "Useful Calculations" tab contains several calculations including Specific Speed, Suction Specific Speed and</t>
  </si>
  <si>
    <t>operating range.  The application requires variable speed flows from 1000 to 1850 gpm.</t>
  </si>
  <si>
    <t>Scroll down for more detailed instructions and an explaination of the included example.</t>
  </si>
  <si>
    <t>http://www.PumpTechnw.com</t>
  </si>
  <si>
    <t>Step 8</t>
  </si>
  <si>
    <t>If the selected pump will be running in parallel with an identical pump, copy the flow, head, efficiency and system</t>
  </si>
  <si>
    <t xml:space="preserve">curve data and paste in into VFPPA.  Use VFPPA to determine whether to use synchronous or individual speed </t>
  </si>
  <si>
    <t>control during operation of the pumps.</t>
  </si>
  <si>
    <t>some BEP and Design Point information.  You can add more if you like.  You will note that the Nss calculation is</t>
  </si>
  <si>
    <t>is fairly high and could indicate flow reversal in the eye at flows below BEP.  But Nss is directly proportional to</t>
  </si>
  <si>
    <t>pump speed and if you calculate it at the lower speeds, you will see that it drops proportionally.</t>
  </si>
  <si>
    <r>
      <t xml:space="preserve">Variable Speed Pump Analysis (VSPAnalysis) - </t>
    </r>
    <r>
      <rPr>
        <sz val="12"/>
        <color indexed="12"/>
        <rFont val="Arial"/>
        <family val="2"/>
      </rPr>
      <t>with Autoplot</t>
    </r>
  </si>
  <si>
    <t>60hz</t>
  </si>
  <si>
    <t>55hz</t>
  </si>
  <si>
    <t>50hz</t>
  </si>
  <si>
    <t>45hz</t>
  </si>
  <si>
    <t>40hz</t>
  </si>
  <si>
    <t>35hz</t>
  </si>
  <si>
    <t>30hz</t>
  </si>
  <si>
    <t>Enter eye diameter in inches</t>
  </si>
  <si>
    <r>
      <t>Suction Specific Speed (Nss)</t>
    </r>
    <r>
      <rPr>
        <b/>
        <sz val="10"/>
        <color rgb="FFFF0000"/>
        <rFont val="Arial"/>
        <family val="2"/>
      </rPr>
      <t>**</t>
    </r>
  </si>
  <si>
    <t>(RPM2 / RPM1)^1.5 = (NPSHr2 / NPSHr1)</t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</si>
  <si>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NPSHr estimation at reduced speeds is:</t>
    </r>
  </si>
  <si>
    <t>If eye diamater is not known it can be</t>
  </si>
  <si>
    <t>End Suction - Suction Diameter X 0.9</t>
  </si>
  <si>
    <t>Split Case - Suction Diameter X 0.75</t>
  </si>
  <si>
    <t>estimated as follows:</t>
  </si>
  <si>
    <r>
      <t xml:space="preserve">     and electrical power cost per kWH (.xxx) in </t>
    </r>
    <r>
      <rPr>
        <sz val="10"/>
        <color rgb="FFFF0000"/>
        <rFont val="Arial"/>
        <family val="2"/>
      </rPr>
      <t>$/kWh</t>
    </r>
  </si>
  <si>
    <t>kWh per 1000 Gallons Pumped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</si>
</sst>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&quot;$&quot;#,##0.000"/>
    <numFmt numFmtId="167" formatCode="0.000"/>
  </numFmts>
  <fonts count="15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color rgb="FF0000FF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0" xfId="0" applyFont="1"/>
    <xf numFmtId="1" fontId="0" fillId="4" borderId="0" xfId="0" applyNumberForma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0" fillId="5" borderId="1" xfId="0" applyNumberFormat="1" applyFill="1" applyBorder="1"/>
    <xf numFmtId="9" fontId="0" fillId="0" borderId="0" xfId="0" applyNumberFormat="1"/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2" fontId="0" fillId="5" borderId="1" xfId="0" applyNumberFormat="1" applyFill="1" applyBorder="1"/>
    <xf numFmtId="2" fontId="0" fillId="0" borderId="0" xfId="0" applyNumberFormat="1"/>
    <xf numFmtId="0" fontId="12" fillId="0" borderId="0" xfId="0" applyFont="1"/>
    <xf numFmtId="0" fontId="13" fillId="0" borderId="0" xfId="0" applyFont="1"/>
    <xf numFmtId="0" fontId="10" fillId="0" borderId="0" xfId="0" applyFont="1"/>
    <xf numFmtId="1" fontId="10" fillId="0" borderId="0" xfId="0" applyNumberFormat="1" applyFont="1"/>
    <xf numFmtId="165" fontId="0" fillId="5" borderId="1" xfId="0" applyNumberFormat="1" applyFill="1" applyBorder="1"/>
    <xf numFmtId="2" fontId="10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/>
    <xf numFmtId="164" fontId="10" fillId="0" borderId="0" xfId="0" applyNumberFormat="1" applyFont="1"/>
    <xf numFmtId="2" fontId="0" fillId="0" borderId="0" xfId="0" applyNumberFormat="1" applyAlignment="1">
      <alignment horizontal="right"/>
    </xf>
    <xf numFmtId="167" fontId="0" fillId="5" borderId="1" xfId="0" applyNumberFormat="1" applyFill="1" applyBorder="1"/>
    <xf numFmtId="1" fontId="9" fillId="0" borderId="0" xfId="0" applyNumberFormat="1" applyFont="1" applyAlignment="1">
      <alignment horizontal="left"/>
    </xf>
    <xf numFmtId="167" fontId="0" fillId="0" borderId="0" xfId="0" applyNumberFormat="1"/>
    <xf numFmtId="165" fontId="0" fillId="4" borderId="0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Head vs System Head</a:t>
            </a:r>
            <a:endParaRPr lang="en-US" sz="1200"/>
          </a:p>
        </c:rich>
      </c:tx>
      <c:layout>
        <c:manualLayout>
          <c:xMode val="edge"/>
          <c:yMode val="edge"/>
          <c:x val="0.36863619472315134"/>
          <c:y val="3.2626427406199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14"/>
          <c:w val="0.79710144927536231"/>
          <c:h val="0.76508972267537112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VSPA!$P$17</c:f>
                  <c:strCache>
                    <c:ptCount val="1"/>
                    <c:pt idx="0">
                      <c:v>200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VSPA!$Q$17</c:f>
                  <c:strCache>
                    <c:ptCount val="1"/>
                    <c:pt idx="0">
                      <c:v>195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VSPA!$R$17</c:f>
                  <c:strCache>
                    <c:ptCount val="1"/>
                    <c:pt idx="0">
                      <c:v>187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VSPA!$S$17</c:f>
                  <c:strCache>
                    <c:ptCount val="1"/>
                    <c:pt idx="0">
                      <c:v>178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tx>
                <c:strRef>
                  <c:f>VSPA!$T$17</c:f>
                  <c:strCache>
                    <c:ptCount val="1"/>
                    <c:pt idx="0">
                      <c:v>165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VSPA!$U$17</c:f>
                  <c:strCache>
                    <c:ptCount val="1"/>
                    <c:pt idx="0">
                      <c:v>148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VSPA!$V$17</c:f>
                  <c:strCache>
                    <c:ptCount val="1"/>
                    <c:pt idx="0">
                      <c:v>125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VSPA!$W$17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VSPA!$P$135</c:f>
                  <c:strCache>
                    <c:ptCount val="1"/>
                    <c:pt idx="0">
                      <c:v>168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VSPA!$Q$135</c:f>
                  <c:strCache>
                    <c:ptCount val="1"/>
                    <c:pt idx="0">
                      <c:v>164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VSPA!$R$135</c:f>
                  <c:strCache>
                    <c:ptCount val="1"/>
                    <c:pt idx="0">
                      <c:v>157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VSPA!$S$135</c:f>
                  <c:strCache>
                    <c:ptCount val="1"/>
                    <c:pt idx="0">
                      <c:v>150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VSPA!$T$135</c:f>
                  <c:strCache>
                    <c:ptCount val="1"/>
                    <c:pt idx="0">
                      <c:v>139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VSPA!$U$135</c:f>
                  <c:strCache>
                    <c:ptCount val="1"/>
                    <c:pt idx="0">
                      <c:v>124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VSPA!$V$135</c:f>
                  <c:strCache>
                    <c:ptCount val="1"/>
                    <c:pt idx="0">
                      <c:v>105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VSPA!$W$135</c:f>
                  <c:strCache>
                    <c:ptCount val="1"/>
                    <c:pt idx="0">
                      <c:v>84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VSPA!$H$135:$O$135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VSPA!$P$135:$W$135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VSPA!$P$140</c:f>
                  <c:strCache>
                    <c:ptCount val="1"/>
                    <c:pt idx="0">
                      <c:v>139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VSPA!$Q$140</c:f>
                  <c:strCache>
                    <c:ptCount val="1"/>
                    <c:pt idx="0">
                      <c:v>135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VSPA!$R$140</c:f>
                  <c:strCache>
                    <c:ptCount val="1"/>
                    <c:pt idx="0">
                      <c:v>130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VSPA!$S$140</c:f>
                  <c:strCache>
                    <c:ptCount val="1"/>
                    <c:pt idx="0">
                      <c:v>124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VSPA!$T$140</c:f>
                  <c:strCache>
                    <c:ptCount val="1"/>
                    <c:pt idx="0">
                      <c:v>115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VSPA!$U$140</c:f>
                  <c:strCache>
                    <c:ptCount val="1"/>
                    <c:pt idx="0">
                      <c:v>103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VSPA!$V$140</c:f>
                  <c:strCache>
                    <c:ptCount val="1"/>
                    <c:pt idx="0">
                      <c:v>87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VSPA!$W$140</c:f>
                  <c:strCache>
                    <c:ptCount val="1"/>
                    <c:pt idx="0">
                      <c:v>69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VSPA!$P$145</c:f>
                  <c:strCache>
                    <c:ptCount val="1"/>
                    <c:pt idx="0">
                      <c:v>113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VSPA!$Q$145</c:f>
                  <c:strCache>
                    <c:ptCount val="1"/>
                    <c:pt idx="0">
                      <c:v>110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VSPA!$R$145</c:f>
                  <c:strCache>
                    <c:ptCount val="1"/>
                    <c:pt idx="0">
                      <c:v>105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VSPA!$S$145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VSPA!$T$145</c:f>
                  <c:strCache>
                    <c:ptCount val="1"/>
                    <c:pt idx="0">
                      <c:v>93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VSPA!$U$145</c:f>
                  <c:strCache>
                    <c:ptCount val="1"/>
                    <c:pt idx="0">
                      <c:v>83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VSPA!$V$145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VSPA!$W$145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VSPA!$H$145:$O$145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VSPA!$P$145:$W$145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VSPA!$P$150</c:f>
                  <c:strCache>
                    <c:ptCount val="1"/>
                    <c:pt idx="0">
                      <c:v>89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VSPA!$Q$150</c:f>
                  <c:strCache>
                    <c:ptCount val="1"/>
                    <c:pt idx="0">
                      <c:v>87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VSPA!$R$150</c:f>
                  <c:strCache>
                    <c:ptCount val="1"/>
                    <c:pt idx="0">
                      <c:v>83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VSPA!$S$150</c:f>
                  <c:strCache>
                    <c:ptCount val="1"/>
                    <c:pt idx="0">
                      <c:v>79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VSPA!$T$150</c:f>
                  <c:strCache>
                    <c:ptCount val="1"/>
                    <c:pt idx="0">
                      <c:v>73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VSPA!$U$150</c:f>
                  <c:strCache>
                    <c:ptCount val="1"/>
                    <c:pt idx="0">
                      <c:v>66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VSPA!$V$150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VSPA!$W$150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VSPA!$P$155</c:f>
                  <c:strCache>
                    <c:ptCount val="1"/>
                    <c:pt idx="0">
                      <c:v>68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VSPA!$Q$155</c:f>
                  <c:strCache>
                    <c:ptCount val="1"/>
                    <c:pt idx="0">
                      <c:v>66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VSPA!$R$155</c:f>
                  <c:strCache>
                    <c:ptCount val="1"/>
                    <c:pt idx="0">
                      <c:v>64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VSPA!$S$155</c:f>
                  <c:strCache>
                    <c:ptCount val="1"/>
                    <c:pt idx="0">
                      <c:v>61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VSPA!$T$155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VSPA!$U$155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VSPA!$V$155</c:f>
                  <c:strCache>
                    <c:ptCount val="1"/>
                    <c:pt idx="0">
                      <c:v>43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VSPA!$W$155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VSPA!$H$155:$O$155</c:f>
              <c:numCache>
                <c:formatCode>0</c:formatCode>
                <c:ptCount val="8"/>
                <c:pt idx="0">
                  <c:v>291.66666666666669</c:v>
                </c:pt>
                <c:pt idx="1">
                  <c:v>437.5</c:v>
                </c:pt>
                <c:pt idx="2">
                  <c:v>583.33333333333337</c:v>
                </c:pt>
                <c:pt idx="3">
                  <c:v>729.16666666666674</c:v>
                </c:pt>
                <c:pt idx="4">
                  <c:v>875</c:v>
                </c:pt>
                <c:pt idx="5">
                  <c:v>1020.8333333333334</c:v>
                </c:pt>
                <c:pt idx="6">
                  <c:v>1166.6666666666667</c:v>
                </c:pt>
                <c:pt idx="7">
                  <c:v>1312.5</c:v>
                </c:pt>
              </c:numCache>
            </c:numRef>
          </c:xVal>
          <c:yVal>
            <c:numRef>
              <c:f>VSPA!$P$155:$W$155</c:f>
              <c:numCache>
                <c:formatCode>0</c:formatCode>
                <c:ptCount val="8"/>
                <c:pt idx="0">
                  <c:v>68.055555555555571</c:v>
                </c:pt>
                <c:pt idx="1">
                  <c:v>66.354166666666686</c:v>
                </c:pt>
                <c:pt idx="2">
                  <c:v>63.631944444444457</c:v>
                </c:pt>
                <c:pt idx="3">
                  <c:v>60.569444444444457</c:v>
                </c:pt>
                <c:pt idx="4">
                  <c:v>56.145833333333343</c:v>
                </c:pt>
                <c:pt idx="5">
                  <c:v>50.361111111111121</c:v>
                </c:pt>
                <c:pt idx="6">
                  <c:v>42.534722222222229</c:v>
                </c:pt>
                <c:pt idx="7">
                  <c:v>34.027777777777786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VSPA!$P$160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VSPA!$Q$160</c:f>
                  <c:strCache>
                    <c:ptCount val="1"/>
                    <c:pt idx="0">
                      <c:v>49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VSPA!$R$160</c:f>
                  <c:strCache>
                    <c:ptCount val="1"/>
                    <c:pt idx="0">
                      <c:v>47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VSPA!$S$160</c:f>
                  <c:strCache>
                    <c:ptCount val="1"/>
                    <c:pt idx="0">
                      <c:v>45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VSPA!$T$160</c:f>
                  <c:strCache>
                    <c:ptCount val="1"/>
                    <c:pt idx="0">
                      <c:v>41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VSPA!$U$160</c:f>
                  <c:strCache>
                    <c:ptCount val="1"/>
                    <c:pt idx="0">
                      <c:v>37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VSPA!$V$160</c:f>
                  <c:strCache>
                    <c:ptCount val="1"/>
                    <c:pt idx="0">
                      <c:v>31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VSPA!$W$160</c:f>
                  <c:strCache>
                    <c:ptCount val="1"/>
                    <c:pt idx="0">
                      <c:v>25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VSPA!$H$160:$O$160</c:f>
              <c:numCache>
                <c:formatCode>0</c:formatCode>
                <c:ptCount val="8"/>
                <c:pt idx="0">
                  <c:v>250</c:v>
                </c:pt>
                <c:pt idx="1">
                  <c:v>375</c:v>
                </c:pt>
                <c:pt idx="2">
                  <c:v>500</c:v>
                </c:pt>
                <c:pt idx="3">
                  <c:v>625</c:v>
                </c:pt>
                <c:pt idx="4">
                  <c:v>750</c:v>
                </c:pt>
                <c:pt idx="5">
                  <c:v>875</c:v>
                </c:pt>
                <c:pt idx="6">
                  <c:v>1000</c:v>
                </c:pt>
                <c:pt idx="7">
                  <c:v>1125</c:v>
                </c:pt>
              </c:numCache>
            </c:numRef>
          </c:xVal>
          <c:yVal>
            <c:numRef>
              <c:f>VSPA!$P$160:$W$160</c:f>
              <c:numCache>
                <c:formatCode>0</c:formatCode>
                <c:ptCount val="8"/>
                <c:pt idx="0">
                  <c:v>50</c:v>
                </c:pt>
                <c:pt idx="1">
                  <c:v>48.75</c:v>
                </c:pt>
                <c:pt idx="2">
                  <c:v>46.75</c:v>
                </c:pt>
                <c:pt idx="3">
                  <c:v>44.5</c:v>
                </c:pt>
                <c:pt idx="4">
                  <c:v>41.25</c:v>
                </c:pt>
                <c:pt idx="5">
                  <c:v>37</c:v>
                </c:pt>
                <c:pt idx="6">
                  <c:v>31.25</c:v>
                </c:pt>
                <c:pt idx="7">
                  <c:v>25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8"/>
          <c:tx>
            <c:v> 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6175232"/>
        <c:axId val="96177536"/>
      </c:scatterChart>
      <c:valAx>
        <c:axId val="9617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77536"/>
        <c:crosses val="autoZero"/>
        <c:crossBetween val="midCat"/>
      </c:valAx>
      <c:valAx>
        <c:axId val="96177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752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61838240125445"/>
          <c:y val="0.36541598694943073"/>
          <c:w val="0.10873113260717329"/>
          <c:h val="0.31668186664269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Hydraulic Efficiency vs System Head</a:t>
            </a:r>
            <a:endParaRPr lang="en-US" sz="1200"/>
          </a:p>
        </c:rich>
      </c:tx>
      <c:layout>
        <c:manualLayout>
          <c:xMode val="edge"/>
          <c:yMode val="edge"/>
          <c:x val="0.28688219992568226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13"/>
          <c:w val="0.79710144927536231"/>
          <c:h val="0.7650897226753709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VSPA!$H$135:$O$135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VSPA!$P$135:$W$135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VSPA!$H$145:$O$145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VSPA!$P$145:$W$145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VSPA!$H$155:$O$155</c:f>
              <c:numCache>
                <c:formatCode>0</c:formatCode>
                <c:ptCount val="8"/>
                <c:pt idx="0">
                  <c:v>291.66666666666669</c:v>
                </c:pt>
                <c:pt idx="1">
                  <c:v>437.5</c:v>
                </c:pt>
                <c:pt idx="2">
                  <c:v>583.33333333333337</c:v>
                </c:pt>
                <c:pt idx="3">
                  <c:v>729.16666666666674</c:v>
                </c:pt>
                <c:pt idx="4">
                  <c:v>875</c:v>
                </c:pt>
                <c:pt idx="5">
                  <c:v>1020.8333333333334</c:v>
                </c:pt>
                <c:pt idx="6">
                  <c:v>1166.6666666666667</c:v>
                </c:pt>
                <c:pt idx="7">
                  <c:v>1312.5</c:v>
                </c:pt>
              </c:numCache>
            </c:numRef>
          </c:xVal>
          <c:yVal>
            <c:numRef>
              <c:f>VSPA!$P$155:$W$155</c:f>
              <c:numCache>
                <c:formatCode>0</c:formatCode>
                <c:ptCount val="8"/>
                <c:pt idx="0">
                  <c:v>68.055555555555571</c:v>
                </c:pt>
                <c:pt idx="1">
                  <c:v>66.354166666666686</c:v>
                </c:pt>
                <c:pt idx="2">
                  <c:v>63.631944444444457</c:v>
                </c:pt>
                <c:pt idx="3">
                  <c:v>60.569444444444457</c:v>
                </c:pt>
                <c:pt idx="4">
                  <c:v>56.145833333333343</c:v>
                </c:pt>
                <c:pt idx="5">
                  <c:v>50.361111111111121</c:v>
                </c:pt>
                <c:pt idx="6">
                  <c:v>42.534722222222229</c:v>
                </c:pt>
                <c:pt idx="7">
                  <c:v>34.027777777777786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VSPA!$I$165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VSPA!$J$165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VSPA!$K$165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VSPA!$L$165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VSPA!$M$165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VSPA!$N$165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VSPA!$O$165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VSPA!$P$165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VSPA!$H$160:$O$160</c:f>
              <c:numCache>
                <c:formatCode>0</c:formatCode>
                <c:ptCount val="8"/>
                <c:pt idx="0">
                  <c:v>250</c:v>
                </c:pt>
                <c:pt idx="1">
                  <c:v>375</c:v>
                </c:pt>
                <c:pt idx="2">
                  <c:v>500</c:v>
                </c:pt>
                <c:pt idx="3">
                  <c:v>625</c:v>
                </c:pt>
                <c:pt idx="4">
                  <c:v>750</c:v>
                </c:pt>
                <c:pt idx="5">
                  <c:v>875</c:v>
                </c:pt>
                <c:pt idx="6">
                  <c:v>1000</c:v>
                </c:pt>
                <c:pt idx="7">
                  <c:v>1125</c:v>
                </c:pt>
              </c:numCache>
            </c:numRef>
          </c:xVal>
          <c:yVal>
            <c:numRef>
              <c:f>VSPA!$P$160:$W$160</c:f>
              <c:numCache>
                <c:formatCode>0</c:formatCode>
                <c:ptCount val="8"/>
                <c:pt idx="0">
                  <c:v>50</c:v>
                </c:pt>
                <c:pt idx="1">
                  <c:v>48.75</c:v>
                </c:pt>
                <c:pt idx="2">
                  <c:v>46.75</c:v>
                </c:pt>
                <c:pt idx="3">
                  <c:v>44.5</c:v>
                </c:pt>
                <c:pt idx="4">
                  <c:v>41.25</c:v>
                </c:pt>
                <c:pt idx="5">
                  <c:v>37</c:v>
                </c:pt>
                <c:pt idx="6">
                  <c:v>31.25</c:v>
                </c:pt>
                <c:pt idx="7">
                  <c:v>25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8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6477184"/>
        <c:axId val="96479488"/>
      </c:scatterChart>
      <c:valAx>
        <c:axId val="9647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79488"/>
        <c:crosses val="autoZero"/>
        <c:crossBetween val="midCat"/>
      </c:valAx>
      <c:valAx>
        <c:axId val="96479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2065"/>
          <c:y val="0.3654159869494325"/>
          <c:w val="0.10387216648086213"/>
          <c:h val="0.31668186664269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BHP vs System Head</a:t>
            </a:r>
            <a:endParaRPr lang="en-US" sz="1200"/>
          </a:p>
        </c:rich>
      </c:tx>
      <c:layout>
        <c:manualLayout>
          <c:xMode val="edge"/>
          <c:yMode val="edge"/>
          <c:x val="0.37012263099219767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12"/>
          <c:w val="0.79710144927536231"/>
          <c:h val="0.76508972267537068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VSPA!$Y$133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VSPA!$Z$133</c:f>
                  <c:strCache>
                    <c:ptCount val="1"/>
                    <c:pt idx="0">
                      <c:v>51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VSPA!$AA$133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VSPA!$AB$133</c:f>
                  <c:strCache>
                    <c:ptCount val="1"/>
                    <c:pt idx="0">
                      <c:v>67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</c:dLbl>
            <c:dLbl>
              <c:idx val="4"/>
              <c:layout/>
              <c:tx>
                <c:strRef>
                  <c:f>VSPA!$AC$133</c:f>
                  <c:strCache>
                    <c:ptCount val="1"/>
                    <c:pt idx="0">
                      <c:v>73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VSPA!$AD$133</c:f>
                  <c:strCache>
                    <c:ptCount val="1"/>
                    <c:pt idx="0">
                      <c:v>76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VSPA!$AE$133</c:f>
                  <c:strCache>
                    <c:ptCount val="1"/>
                    <c:pt idx="0">
                      <c:v>76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VSPA!$AF$133</c:f>
                  <c:strCache>
                    <c:ptCount val="1"/>
                    <c:pt idx="0">
                      <c:v>77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VSPA!$Y$135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VSPA!$Z$135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VSPA!$AA$135</c:f>
                  <c:strCache>
                    <c:ptCount val="1"/>
                    <c:pt idx="0">
                      <c:v>45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VSPA!$AB$135</c:f>
                  <c:strCache>
                    <c:ptCount val="1"/>
                    <c:pt idx="0">
                      <c:v>52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VSPA!$AC$135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VSPA!$AD$135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VSPA!$AE$135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VSPA!$AF$135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VSPA!$H$135:$O$135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VSPA!$P$135:$W$135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VSPA!$Y$140</c:f>
                  <c:strCache>
                    <c:ptCount val="1"/>
                    <c:pt idx="0">
                      <c:v>24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VSPA!$Z$140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VSPA!$AA$140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VSPA!$AB$140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VSPA!$AC$140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VSPA!$AD$140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VSPA!$AE$140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VSPA!$AF$140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VSPA!$Y$145</c:f>
                  <c:strCache>
                    <c:ptCount val="1"/>
                    <c:pt idx="0">
                      <c:v>18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VSPA!$Z$145</c:f>
                  <c:strCache>
                    <c:ptCount val="1"/>
                    <c:pt idx="0">
                      <c:v>22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VSPA!$AA$145</c:f>
                  <c:strCache>
                    <c:ptCount val="1"/>
                    <c:pt idx="0">
                      <c:v>25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VSPA!$AB$145</c:f>
                  <c:strCache>
                    <c:ptCount val="1"/>
                    <c:pt idx="0">
                      <c:v>28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VSPA!$AC$145</c:f>
                  <c:strCache>
                    <c:ptCount val="1"/>
                    <c:pt idx="0">
                      <c:v>31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VSPA!$AD$145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VSPA!$AE$145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VSPA!$AF$145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VSPA!$H$145:$O$145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VSPA!$P$145:$W$145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VSPA!$Y$150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VSPA!$Z$150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VSPA!$AA$150</c:f>
                  <c:strCache>
                    <c:ptCount val="1"/>
                    <c:pt idx="0">
                      <c:v>17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VSPA!$AB$150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VSPA!$AC$150</c:f>
                  <c:strCache>
                    <c:ptCount val="1"/>
                    <c:pt idx="0">
                      <c:v>22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VSPA!$AD$150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VSPA!$AE$150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VSPA!$AF$150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VSPA!$Y$155</c:f>
                  <c:strCache>
                    <c:ptCount val="1"/>
                    <c:pt idx="0">
                      <c:v>8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VSPA!$Z$155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VSPA!$AA$155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VSPA!$AB$155</c:f>
                  <c:strCache>
                    <c:ptCount val="1"/>
                    <c:pt idx="0">
                      <c:v>13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VSPA!$AC$155</c:f>
                  <c:strCache>
                    <c:ptCount val="1"/>
                    <c:pt idx="0">
                      <c:v>14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VSPA!$AD$155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VSPA!$AE$155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VSPA!$AF$155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VSPA!$H$155:$O$155</c:f>
              <c:numCache>
                <c:formatCode>0</c:formatCode>
                <c:ptCount val="8"/>
                <c:pt idx="0">
                  <c:v>291.66666666666669</c:v>
                </c:pt>
                <c:pt idx="1">
                  <c:v>437.5</c:v>
                </c:pt>
                <c:pt idx="2">
                  <c:v>583.33333333333337</c:v>
                </c:pt>
                <c:pt idx="3">
                  <c:v>729.16666666666674</c:v>
                </c:pt>
                <c:pt idx="4">
                  <c:v>875</c:v>
                </c:pt>
                <c:pt idx="5">
                  <c:v>1020.8333333333334</c:v>
                </c:pt>
                <c:pt idx="6">
                  <c:v>1166.6666666666667</c:v>
                </c:pt>
                <c:pt idx="7">
                  <c:v>1312.5</c:v>
                </c:pt>
              </c:numCache>
            </c:numRef>
          </c:xVal>
          <c:yVal>
            <c:numRef>
              <c:f>VSPA!$P$155:$W$155</c:f>
              <c:numCache>
                <c:formatCode>0</c:formatCode>
                <c:ptCount val="8"/>
                <c:pt idx="0">
                  <c:v>68.055555555555571</c:v>
                </c:pt>
                <c:pt idx="1">
                  <c:v>66.354166666666686</c:v>
                </c:pt>
                <c:pt idx="2">
                  <c:v>63.631944444444457</c:v>
                </c:pt>
                <c:pt idx="3">
                  <c:v>60.569444444444457</c:v>
                </c:pt>
                <c:pt idx="4">
                  <c:v>56.145833333333343</c:v>
                </c:pt>
                <c:pt idx="5">
                  <c:v>50.361111111111121</c:v>
                </c:pt>
                <c:pt idx="6">
                  <c:v>42.534722222222229</c:v>
                </c:pt>
                <c:pt idx="7">
                  <c:v>34.027777777777786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VSPA!$Y$160</c:f>
                  <c:strCache>
                    <c:ptCount val="1"/>
                    <c:pt idx="0">
                      <c:v>5</c:v>
                    </c:pt>
                  </c:strCache>
                </c:strRef>
              </c:tx>
              <c:dLblPos val="t"/>
            </c:dLbl>
            <c:dLbl>
              <c:idx val="1"/>
              <c:layout/>
              <c:tx>
                <c:strRef>
                  <c:f>VSPA!$Z$160</c:f>
                  <c:strCache>
                    <c:ptCount val="1"/>
                    <c:pt idx="0">
                      <c:v>6</c:v>
                    </c:pt>
                  </c:strCache>
                </c:strRef>
              </c:tx>
              <c:dLblPos val="t"/>
            </c:dLbl>
            <c:dLbl>
              <c:idx val="2"/>
              <c:layout/>
              <c:tx>
                <c:strRef>
                  <c:f>VSPA!$AA$160</c:f>
                  <c:strCache>
                    <c:ptCount val="1"/>
                    <c:pt idx="0">
                      <c:v>7</c:v>
                    </c:pt>
                  </c:strCache>
                </c:strRef>
              </c:tx>
              <c:dLblPos val="t"/>
            </c:dLbl>
            <c:dLbl>
              <c:idx val="3"/>
              <c:layout/>
              <c:tx>
                <c:strRef>
                  <c:f>VSPA!$AB$160</c:f>
                  <c:strCache>
                    <c:ptCount val="1"/>
                    <c:pt idx="0">
                      <c:v>8</c:v>
                    </c:pt>
                  </c:strCache>
                </c:strRef>
              </c:tx>
              <c:dLblPos val="t"/>
            </c:dLbl>
            <c:dLbl>
              <c:idx val="4"/>
              <c:layout/>
              <c:tx>
                <c:strRef>
                  <c:f>VSPA!$AC$160</c:f>
                  <c:strCache>
                    <c:ptCount val="1"/>
                    <c:pt idx="0">
                      <c:v>9</c:v>
                    </c:pt>
                  </c:strCache>
                </c:strRef>
              </c:tx>
              <c:dLblPos val="t"/>
            </c:dLbl>
            <c:dLbl>
              <c:idx val="5"/>
              <c:layout/>
              <c:tx>
                <c:strRef>
                  <c:f>VSPA!$AD$160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</c:dLbl>
            <c:dLbl>
              <c:idx val="6"/>
              <c:layout/>
              <c:tx>
                <c:strRef>
                  <c:f>VSPA!$AE$160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</c:dLbl>
            <c:dLbl>
              <c:idx val="7"/>
              <c:layout/>
              <c:tx>
                <c:strRef>
                  <c:f>VSPA!$AF$160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xVal>
            <c:numRef>
              <c:f>VSPA!$H$160:$O$160</c:f>
              <c:numCache>
                <c:formatCode>0</c:formatCode>
                <c:ptCount val="8"/>
                <c:pt idx="0">
                  <c:v>250</c:v>
                </c:pt>
                <c:pt idx="1">
                  <c:v>375</c:v>
                </c:pt>
                <c:pt idx="2">
                  <c:v>500</c:v>
                </c:pt>
                <c:pt idx="3">
                  <c:v>625</c:v>
                </c:pt>
                <c:pt idx="4">
                  <c:v>750</c:v>
                </c:pt>
                <c:pt idx="5">
                  <c:v>875</c:v>
                </c:pt>
                <c:pt idx="6">
                  <c:v>1000</c:v>
                </c:pt>
                <c:pt idx="7">
                  <c:v>1125</c:v>
                </c:pt>
              </c:numCache>
            </c:numRef>
          </c:xVal>
          <c:yVal>
            <c:numRef>
              <c:f>VSPA!$P$160:$W$160</c:f>
              <c:numCache>
                <c:formatCode>0</c:formatCode>
                <c:ptCount val="8"/>
                <c:pt idx="0">
                  <c:v>50</c:v>
                </c:pt>
                <c:pt idx="1">
                  <c:v>48.75</c:v>
                </c:pt>
                <c:pt idx="2">
                  <c:v>46.75</c:v>
                </c:pt>
                <c:pt idx="3">
                  <c:v>44.5</c:v>
                </c:pt>
                <c:pt idx="4">
                  <c:v>41.25</c:v>
                </c:pt>
                <c:pt idx="5">
                  <c:v>37</c:v>
                </c:pt>
                <c:pt idx="6">
                  <c:v>31.25</c:v>
                </c:pt>
                <c:pt idx="7">
                  <c:v>25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8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6763904"/>
        <c:axId val="96766208"/>
      </c:scatterChart>
      <c:valAx>
        <c:axId val="96763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66208"/>
        <c:crosses val="autoZero"/>
        <c:crossBetween val="midCat"/>
      </c:valAx>
      <c:valAx>
        <c:axId val="96766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639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2088"/>
          <c:y val="0.36541598694943239"/>
          <c:w val="0.10387216648086213"/>
          <c:h val="0.31668186664269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kWh / 1000 Gallons Pumped</a:t>
            </a:r>
            <a:endParaRPr lang="en-US" sz="1200"/>
          </a:p>
        </c:rich>
      </c:tx>
      <c:layout>
        <c:manualLayout>
          <c:xMode val="edge"/>
          <c:yMode val="edge"/>
          <c:x val="0.35079895949461182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16"/>
          <c:w val="0.79710144927536231"/>
          <c:h val="0.76508972267537134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VSPA!$AH$133</c:f>
                  <c:strCache>
                    <c:ptCount val="1"/>
                    <c:pt idx="0">
                      <c:v>1.16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VSPA!$AI$133</c:f>
                  <c:strCache>
                    <c:ptCount val="1"/>
                    <c:pt idx="0">
                      <c:v>0.94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VSPA!$AJ$133</c:f>
                  <c:strCache>
                    <c:ptCount val="1"/>
                    <c:pt idx="0">
                      <c:v>0.82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VSPA!$AK$133</c:f>
                  <c:strCache>
                    <c:ptCount val="1"/>
                    <c:pt idx="0">
                      <c:v>0.74</c:v>
                    </c:pt>
                  </c:strCache>
                </c:strRef>
              </c:tx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layout/>
              <c:tx>
                <c:strRef>
                  <c:f>VSPA!$AL$133</c:f>
                  <c:strCache>
                    <c:ptCount val="1"/>
                    <c:pt idx="0">
                      <c:v>0.67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VSPA!$AM$133</c:f>
                  <c:strCache>
                    <c:ptCount val="1"/>
                    <c:pt idx="0">
                      <c:v>0.60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VSPA!$AN$133</c:f>
                  <c:strCache>
                    <c:ptCount val="1"/>
                    <c:pt idx="0">
                      <c:v>0.53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VSPA!$AO$133</c:f>
                  <c:strCache>
                    <c:ptCount val="1"/>
                    <c:pt idx="0">
                      <c:v>0.47</c:v>
                    </c:pt>
                  </c:strCache>
                </c:strRef>
              </c:tx>
              <c:dLblPos val="t"/>
              <c:showVal val="1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VSPA!$AH$135</c:f>
                  <c:strCache>
                    <c:ptCount val="1"/>
                    <c:pt idx="0">
                      <c:v>0.98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VSPA!$AI$135</c:f>
                  <c:strCache>
                    <c:ptCount val="1"/>
                    <c:pt idx="0">
                      <c:v>0.79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VSPA!$AJ$135</c:f>
                  <c:strCache>
                    <c:ptCount val="1"/>
                    <c:pt idx="0">
                      <c:v>0.69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VSPA!$AK$135</c:f>
                  <c:strCache>
                    <c:ptCount val="1"/>
                    <c:pt idx="0">
                      <c:v>0.62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VSPA!$AL$135</c:f>
                  <c:strCache>
                    <c:ptCount val="1"/>
                    <c:pt idx="0">
                      <c:v>0.56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VSPA!$AM$135</c:f>
                  <c:strCache>
                    <c:ptCount val="1"/>
                    <c:pt idx="0">
                      <c:v>0.50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VSPA!$AN$135</c:f>
                  <c:strCache>
                    <c:ptCount val="1"/>
                    <c:pt idx="0">
                      <c:v>0.44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VSPA!$AO$135</c:f>
                  <c:strCache>
                    <c:ptCount val="1"/>
                    <c:pt idx="0">
                      <c:v>0.40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VSPA!$H$135:$O$135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VSPA!$P$135:$W$135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VSPA!$AH$140</c:f>
                  <c:strCache>
                    <c:ptCount val="1"/>
                    <c:pt idx="0">
                      <c:v>0.81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VSPA!$AI$140</c:f>
                  <c:strCache>
                    <c:ptCount val="1"/>
                    <c:pt idx="0">
                      <c:v>0.66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VSPA!$AJ$140</c:f>
                  <c:strCache>
                    <c:ptCount val="1"/>
                    <c:pt idx="0">
                      <c:v>0.57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VSPA!$AK$140</c:f>
                  <c:strCache>
                    <c:ptCount val="1"/>
                    <c:pt idx="0">
                      <c:v>0.51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VSPA!$AL$140</c:f>
                  <c:strCache>
                    <c:ptCount val="1"/>
                    <c:pt idx="0">
                      <c:v>0.46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VSPA!$AM$140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VSPA!$AN$140</c:f>
                  <c:strCache>
                    <c:ptCount val="1"/>
                    <c:pt idx="0">
                      <c:v>0.36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VSPA!$AO$140</c:f>
                  <c:strCache>
                    <c:ptCount val="1"/>
                    <c:pt idx="0">
                      <c:v>0.33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VSPA!$AH$145</c:f>
                  <c:strCache>
                    <c:ptCount val="1"/>
                    <c:pt idx="0">
                      <c:v>0.65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VSPA!$AI$145</c:f>
                  <c:strCache>
                    <c:ptCount val="1"/>
                    <c:pt idx="0">
                      <c:v>0.53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VSPA!$AJ$145</c:f>
                  <c:strCache>
                    <c:ptCount val="1"/>
                    <c:pt idx="0">
                      <c:v>0.46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VSPA!$AK$145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VSPA!$AL$145</c:f>
                  <c:strCache>
                    <c:ptCount val="1"/>
                    <c:pt idx="0">
                      <c:v>0.38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VSPA!$AM$145</c:f>
                  <c:strCache>
                    <c:ptCount val="1"/>
                    <c:pt idx="0">
                      <c:v>0.34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VSPA!$AN$145</c:f>
                  <c:strCache>
                    <c:ptCount val="1"/>
                    <c:pt idx="0">
                      <c:v>0.30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VSPA!$AO$145</c:f>
                  <c:strCache>
                    <c:ptCount val="1"/>
                    <c:pt idx="0">
                      <c:v>0.27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VSPA!$H$145:$O$145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VSPA!$P$145:$W$145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VSPA!$AH$150</c:f>
                  <c:strCache>
                    <c:ptCount val="1"/>
                    <c:pt idx="0">
                      <c:v>0.52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VSPA!$AI$150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VSPA!$AJ$150</c:f>
                  <c:strCache>
                    <c:ptCount val="1"/>
                    <c:pt idx="0">
                      <c:v>0.36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VSPA!$AK$150</c:f>
                  <c:strCache>
                    <c:ptCount val="1"/>
                    <c:pt idx="0">
                      <c:v>0.33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VSPA!$AL$150</c:f>
                  <c:strCache>
                    <c:ptCount val="1"/>
                    <c:pt idx="0">
                      <c:v>0.30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VSPA!$AM$150</c:f>
                  <c:strCache>
                    <c:ptCount val="1"/>
                    <c:pt idx="0">
                      <c:v>0.27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VSPA!$AN$150</c:f>
                  <c:strCache>
                    <c:ptCount val="1"/>
                    <c:pt idx="0">
                      <c:v>0.23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VSPA!$AO$150</c:f>
                  <c:strCache>
                    <c:ptCount val="1"/>
                    <c:pt idx="0">
                      <c:v>0.21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VSPA!$AH$155</c:f>
                  <c:strCache>
                    <c:ptCount val="1"/>
                    <c:pt idx="0">
                      <c:v>0.40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VSPA!$AI$155</c:f>
                  <c:strCache>
                    <c:ptCount val="1"/>
                    <c:pt idx="0">
                      <c:v>0.32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VSPA!$AJ$155</c:f>
                  <c:strCache>
                    <c:ptCount val="1"/>
                    <c:pt idx="0">
                      <c:v>0.28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VSPA!$AK$155</c:f>
                  <c:strCache>
                    <c:ptCount val="1"/>
                    <c:pt idx="0">
                      <c:v>0.25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VSPA!$AL$155</c:f>
                  <c:strCache>
                    <c:ptCount val="1"/>
                    <c:pt idx="0">
                      <c:v>0.23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VSPA!$AM$155</c:f>
                  <c:strCache>
                    <c:ptCount val="1"/>
                    <c:pt idx="0">
                      <c:v>0.20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VSPA!$AN$155</c:f>
                  <c:strCache>
                    <c:ptCount val="1"/>
                    <c:pt idx="0">
                      <c:v>0.18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VSPA!$AO$155</c:f>
                  <c:strCache>
                    <c:ptCount val="1"/>
                    <c:pt idx="0">
                      <c:v>0.16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VSPA!$H$155:$O$155</c:f>
              <c:numCache>
                <c:formatCode>0</c:formatCode>
                <c:ptCount val="8"/>
                <c:pt idx="0">
                  <c:v>291.66666666666669</c:v>
                </c:pt>
                <c:pt idx="1">
                  <c:v>437.5</c:v>
                </c:pt>
                <c:pt idx="2">
                  <c:v>583.33333333333337</c:v>
                </c:pt>
                <c:pt idx="3">
                  <c:v>729.16666666666674</c:v>
                </c:pt>
                <c:pt idx="4">
                  <c:v>875</c:v>
                </c:pt>
                <c:pt idx="5">
                  <c:v>1020.8333333333334</c:v>
                </c:pt>
                <c:pt idx="6">
                  <c:v>1166.6666666666667</c:v>
                </c:pt>
                <c:pt idx="7">
                  <c:v>1312.5</c:v>
                </c:pt>
              </c:numCache>
            </c:numRef>
          </c:xVal>
          <c:yVal>
            <c:numRef>
              <c:f>VSPA!$P$155:$W$155</c:f>
              <c:numCache>
                <c:formatCode>0</c:formatCode>
                <c:ptCount val="8"/>
                <c:pt idx="0">
                  <c:v>68.055555555555571</c:v>
                </c:pt>
                <c:pt idx="1">
                  <c:v>66.354166666666686</c:v>
                </c:pt>
                <c:pt idx="2">
                  <c:v>63.631944444444457</c:v>
                </c:pt>
                <c:pt idx="3">
                  <c:v>60.569444444444457</c:v>
                </c:pt>
                <c:pt idx="4">
                  <c:v>56.145833333333343</c:v>
                </c:pt>
                <c:pt idx="5">
                  <c:v>50.361111111111121</c:v>
                </c:pt>
                <c:pt idx="6">
                  <c:v>42.534722222222229</c:v>
                </c:pt>
                <c:pt idx="7">
                  <c:v>34.027777777777786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VSPA!$AH$160</c:f>
                  <c:strCache>
                    <c:ptCount val="1"/>
                    <c:pt idx="0">
                      <c:v>0.29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VSPA!$AI$160</c:f>
                  <c:strCache>
                    <c:ptCount val="1"/>
                    <c:pt idx="0">
                      <c:v>0.24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VSPA!$AJ$160</c:f>
                  <c:strCache>
                    <c:ptCount val="1"/>
                    <c:pt idx="0">
                      <c:v>0.20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VSPA!$AK$160</c:f>
                  <c:strCache>
                    <c:ptCount val="1"/>
                    <c:pt idx="0">
                      <c:v>0.18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VSPA!$AL$160</c:f>
                  <c:strCache>
                    <c:ptCount val="1"/>
                    <c:pt idx="0">
                      <c:v>0.17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VSPA!$AM$160</c:f>
                  <c:strCache>
                    <c:ptCount val="1"/>
                    <c:pt idx="0">
                      <c:v>0.15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VSPA!$AN$160</c:f>
                  <c:strCache>
                    <c:ptCount val="1"/>
                    <c:pt idx="0">
                      <c:v>0.13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VSPA!$AO$160</c:f>
                  <c:strCache>
                    <c:ptCount val="1"/>
                    <c:pt idx="0">
                      <c:v>0.12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VSPA!$H$160:$O$160</c:f>
              <c:numCache>
                <c:formatCode>0</c:formatCode>
                <c:ptCount val="8"/>
                <c:pt idx="0">
                  <c:v>250</c:v>
                </c:pt>
                <c:pt idx="1">
                  <c:v>375</c:v>
                </c:pt>
                <c:pt idx="2">
                  <c:v>500</c:v>
                </c:pt>
                <c:pt idx="3">
                  <c:v>625</c:v>
                </c:pt>
                <c:pt idx="4">
                  <c:v>750</c:v>
                </c:pt>
                <c:pt idx="5">
                  <c:v>875</c:v>
                </c:pt>
                <c:pt idx="6">
                  <c:v>1000</c:v>
                </c:pt>
                <c:pt idx="7">
                  <c:v>1125</c:v>
                </c:pt>
              </c:numCache>
            </c:numRef>
          </c:xVal>
          <c:yVal>
            <c:numRef>
              <c:f>VSPA!$P$160:$W$160</c:f>
              <c:numCache>
                <c:formatCode>0</c:formatCode>
                <c:ptCount val="8"/>
                <c:pt idx="0">
                  <c:v>50</c:v>
                </c:pt>
                <c:pt idx="1">
                  <c:v>48.75</c:v>
                </c:pt>
                <c:pt idx="2">
                  <c:v>46.75</c:v>
                </c:pt>
                <c:pt idx="3">
                  <c:v>44.5</c:v>
                </c:pt>
                <c:pt idx="4">
                  <c:v>41.25</c:v>
                </c:pt>
                <c:pt idx="5">
                  <c:v>37</c:v>
                </c:pt>
                <c:pt idx="6">
                  <c:v>31.25</c:v>
                </c:pt>
                <c:pt idx="7">
                  <c:v>25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8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7067008"/>
        <c:axId val="97069312"/>
      </c:scatterChart>
      <c:valAx>
        <c:axId val="97067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69312"/>
        <c:crosses val="autoZero"/>
        <c:crossBetween val="midCat"/>
      </c:valAx>
      <c:valAx>
        <c:axId val="9706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670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201"/>
          <c:y val="0.36541598694943273"/>
          <c:w val="0.10387216648086213"/>
          <c:h val="0.31668186664269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Cost / 1000 Gallons Pumped</a:t>
            </a:r>
            <a:endParaRPr lang="en-US" sz="1200"/>
          </a:p>
        </c:rich>
      </c:tx>
      <c:layout>
        <c:manualLayout>
          <c:xMode val="edge"/>
          <c:yMode val="edge"/>
          <c:x val="0.32998885172798509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17"/>
          <c:w val="0.79710144927536231"/>
          <c:h val="0.76508972267537156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VSPA!$AQ$133</c:f>
                  <c:strCache>
                    <c:ptCount val="1"/>
                    <c:pt idx="0">
                      <c:v>0.116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VSPA!$AR$133</c:f>
                  <c:strCache>
                    <c:ptCount val="1"/>
                    <c:pt idx="0">
                      <c:v>0.094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VSPA!$AS$133</c:f>
                  <c:strCache>
                    <c:ptCount val="1"/>
                    <c:pt idx="0">
                      <c:v>0.082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VSPA!$AT$133</c:f>
                  <c:strCache>
                    <c:ptCount val="1"/>
                    <c:pt idx="0">
                      <c:v>0.074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VSPA!$AU$133</c:f>
                  <c:strCache>
                    <c:ptCount val="1"/>
                    <c:pt idx="0">
                      <c:v>0.067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VSPA!$AV$133</c:f>
                  <c:strCache>
                    <c:ptCount val="1"/>
                    <c:pt idx="0">
                      <c:v>0.060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VSPA!$AW$133</c:f>
                  <c:strCache>
                    <c:ptCount val="1"/>
                    <c:pt idx="0">
                      <c:v>0.053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VSPA!$AX$133</c:f>
                  <c:strCache>
                    <c:ptCount val="1"/>
                    <c:pt idx="0">
                      <c:v>0.047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VSPA!$AQ$135</c:f>
                  <c:strCache>
                    <c:ptCount val="1"/>
                    <c:pt idx="0">
                      <c:v>0.098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VSPA!$AR$135</c:f>
                  <c:strCache>
                    <c:ptCount val="1"/>
                    <c:pt idx="0">
                      <c:v>0.079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VSPA!$AS$135</c:f>
                  <c:strCache>
                    <c:ptCount val="1"/>
                    <c:pt idx="0">
                      <c:v>0.069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VSPA!$AT$135</c:f>
                  <c:strCache>
                    <c:ptCount val="1"/>
                    <c:pt idx="0">
                      <c:v>0.062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VSPA!$AU$135</c:f>
                  <c:strCache>
                    <c:ptCount val="1"/>
                    <c:pt idx="0">
                      <c:v>0.056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VSPA!$AV$135</c:f>
                  <c:strCache>
                    <c:ptCount val="1"/>
                    <c:pt idx="0">
                      <c:v>0.050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VSPA!$AW$135</c:f>
                  <c:strCache>
                    <c:ptCount val="1"/>
                    <c:pt idx="0">
                      <c:v>0.044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VSPA!$AX$135</c:f>
                  <c:strCache>
                    <c:ptCount val="1"/>
                    <c:pt idx="0">
                      <c:v>0.040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VSPA!$H$135:$O$135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VSPA!$P$135:$W$135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VSPA!$AQ$140</c:f>
                  <c:strCache>
                    <c:ptCount val="1"/>
                    <c:pt idx="0">
                      <c:v>0.081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VSPA!$AR$140</c:f>
                  <c:strCache>
                    <c:ptCount val="1"/>
                    <c:pt idx="0">
                      <c:v>0.066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VSPA!$AS$140</c:f>
                  <c:strCache>
                    <c:ptCount val="1"/>
                    <c:pt idx="0">
                      <c:v>0.057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VSPA!$AT$140</c:f>
                  <c:strCache>
                    <c:ptCount val="1"/>
                    <c:pt idx="0">
                      <c:v>0.051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VSPA!$AU$140</c:f>
                  <c:strCache>
                    <c:ptCount val="1"/>
                    <c:pt idx="0">
                      <c:v>0.046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VSPA!$AV$140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VSPA!$AW$140</c:f>
                  <c:strCache>
                    <c:ptCount val="1"/>
                    <c:pt idx="0">
                      <c:v>0.036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VSPA!$AX$140</c:f>
                  <c:strCache>
                    <c:ptCount val="1"/>
                    <c:pt idx="0">
                      <c:v>0.033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VSPA!$AQ$145</c:f>
                  <c:strCache>
                    <c:ptCount val="1"/>
                    <c:pt idx="0">
                      <c:v>0.065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VSPA!$AR$145</c:f>
                  <c:strCache>
                    <c:ptCount val="1"/>
                    <c:pt idx="0">
                      <c:v>0.053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VSPA!$AS$145</c:f>
                  <c:strCache>
                    <c:ptCount val="1"/>
                    <c:pt idx="0">
                      <c:v>0.046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VSPA!$AT$145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VSPA!$AU$145</c:f>
                  <c:strCache>
                    <c:ptCount val="1"/>
                    <c:pt idx="0">
                      <c:v>0.038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VSPA!$AV$145</c:f>
                  <c:strCache>
                    <c:ptCount val="1"/>
                    <c:pt idx="0">
                      <c:v>0.034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VSPA!$AW$145</c:f>
                  <c:strCache>
                    <c:ptCount val="1"/>
                    <c:pt idx="0">
                      <c:v>0.030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VSPA!$AX$145</c:f>
                  <c:strCache>
                    <c:ptCount val="1"/>
                    <c:pt idx="0">
                      <c:v>0.027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VSPA!$H$145:$O$145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VSPA!$P$145:$W$145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VSPA!$AQ$150</c:f>
                  <c:strCache>
                    <c:ptCount val="1"/>
                    <c:pt idx="0">
                      <c:v>0.052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VSPA!$AR$150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VSPA!$AS$150</c:f>
                  <c:strCache>
                    <c:ptCount val="1"/>
                    <c:pt idx="0">
                      <c:v>0.036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VSPA!$AT$150</c:f>
                  <c:strCache>
                    <c:ptCount val="1"/>
                    <c:pt idx="0">
                      <c:v>0.033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VSPA!$AU$150</c:f>
                  <c:strCache>
                    <c:ptCount val="1"/>
                    <c:pt idx="0">
                      <c:v>0.030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VSPA!$AV$150</c:f>
                  <c:strCache>
                    <c:ptCount val="1"/>
                    <c:pt idx="0">
                      <c:v>0.027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VSPA!$AW$150</c:f>
                  <c:strCache>
                    <c:ptCount val="1"/>
                    <c:pt idx="0">
                      <c:v>0.023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VSPA!$AX$150</c:f>
                  <c:strCache>
                    <c:ptCount val="1"/>
                    <c:pt idx="0">
                      <c:v>0.021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VSPA!$AQ$155</c:f>
                  <c:strCache>
                    <c:ptCount val="1"/>
                    <c:pt idx="0">
                      <c:v>0.040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VSPA!$AR$155</c:f>
                  <c:strCache>
                    <c:ptCount val="1"/>
                    <c:pt idx="0">
                      <c:v>0.032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VSPA!$AS$155</c:f>
                  <c:strCache>
                    <c:ptCount val="1"/>
                    <c:pt idx="0">
                      <c:v>0.028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VSPA!$AT$155</c:f>
                  <c:strCache>
                    <c:ptCount val="1"/>
                    <c:pt idx="0">
                      <c:v>0.025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VSPA!$AU$155</c:f>
                  <c:strCache>
                    <c:ptCount val="1"/>
                    <c:pt idx="0">
                      <c:v>0.023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VSPA!$AV$155</c:f>
                  <c:strCache>
                    <c:ptCount val="1"/>
                    <c:pt idx="0">
                      <c:v>0.020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VSPA!$AW$155</c:f>
                  <c:strCache>
                    <c:ptCount val="1"/>
                    <c:pt idx="0">
                      <c:v>0.018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VSPA!$AX$155</c:f>
                  <c:strCache>
                    <c:ptCount val="1"/>
                    <c:pt idx="0">
                      <c:v>0.016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VSPA!$H$155:$O$155</c:f>
              <c:numCache>
                <c:formatCode>0</c:formatCode>
                <c:ptCount val="8"/>
                <c:pt idx="0">
                  <c:v>291.66666666666669</c:v>
                </c:pt>
                <c:pt idx="1">
                  <c:v>437.5</c:v>
                </c:pt>
                <c:pt idx="2">
                  <c:v>583.33333333333337</c:v>
                </c:pt>
                <c:pt idx="3">
                  <c:v>729.16666666666674</c:v>
                </c:pt>
                <c:pt idx="4">
                  <c:v>875</c:v>
                </c:pt>
                <c:pt idx="5">
                  <c:v>1020.8333333333334</c:v>
                </c:pt>
                <c:pt idx="6">
                  <c:v>1166.6666666666667</c:v>
                </c:pt>
                <c:pt idx="7">
                  <c:v>1312.5</c:v>
                </c:pt>
              </c:numCache>
            </c:numRef>
          </c:xVal>
          <c:yVal>
            <c:numRef>
              <c:f>VSPA!$P$155:$W$155</c:f>
              <c:numCache>
                <c:formatCode>0</c:formatCode>
                <c:ptCount val="8"/>
                <c:pt idx="0">
                  <c:v>68.055555555555571</c:v>
                </c:pt>
                <c:pt idx="1">
                  <c:v>66.354166666666686</c:v>
                </c:pt>
                <c:pt idx="2">
                  <c:v>63.631944444444457</c:v>
                </c:pt>
                <c:pt idx="3">
                  <c:v>60.569444444444457</c:v>
                </c:pt>
                <c:pt idx="4">
                  <c:v>56.145833333333343</c:v>
                </c:pt>
                <c:pt idx="5">
                  <c:v>50.361111111111121</c:v>
                </c:pt>
                <c:pt idx="6">
                  <c:v>42.534722222222229</c:v>
                </c:pt>
                <c:pt idx="7">
                  <c:v>34.027777777777786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VSPA!$AQ$160</c:f>
                  <c:strCache>
                    <c:ptCount val="1"/>
                    <c:pt idx="0">
                      <c:v>0.029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VSPA!$AR$160</c:f>
                  <c:strCache>
                    <c:ptCount val="1"/>
                    <c:pt idx="0">
                      <c:v>0.024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VSPA!$AS$160</c:f>
                  <c:strCache>
                    <c:ptCount val="1"/>
                    <c:pt idx="0">
                      <c:v>0.020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VSPA!$AT$160</c:f>
                  <c:strCache>
                    <c:ptCount val="1"/>
                    <c:pt idx="0">
                      <c:v>0.018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VSPA!$AU$160</c:f>
                  <c:strCache>
                    <c:ptCount val="1"/>
                    <c:pt idx="0">
                      <c:v>0.017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VSPA!$AV$160</c:f>
                  <c:strCache>
                    <c:ptCount val="1"/>
                    <c:pt idx="0">
                      <c:v>0.015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VSPA!$AW$160</c:f>
                  <c:strCache>
                    <c:ptCount val="1"/>
                    <c:pt idx="0">
                      <c:v>0.013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VSPA!$AX$160</c:f>
                  <c:strCache>
                    <c:ptCount val="1"/>
                    <c:pt idx="0">
                      <c:v>0.012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VSPA!$H$160:$O$160</c:f>
              <c:numCache>
                <c:formatCode>0</c:formatCode>
                <c:ptCount val="8"/>
                <c:pt idx="0">
                  <c:v>250</c:v>
                </c:pt>
                <c:pt idx="1">
                  <c:v>375</c:v>
                </c:pt>
                <c:pt idx="2">
                  <c:v>500</c:v>
                </c:pt>
                <c:pt idx="3">
                  <c:v>625</c:v>
                </c:pt>
                <c:pt idx="4">
                  <c:v>750</c:v>
                </c:pt>
                <c:pt idx="5">
                  <c:v>875</c:v>
                </c:pt>
                <c:pt idx="6">
                  <c:v>1000</c:v>
                </c:pt>
                <c:pt idx="7">
                  <c:v>1125</c:v>
                </c:pt>
              </c:numCache>
            </c:numRef>
          </c:xVal>
          <c:yVal>
            <c:numRef>
              <c:f>VSPA!$P$160:$W$160</c:f>
              <c:numCache>
                <c:formatCode>0</c:formatCode>
                <c:ptCount val="8"/>
                <c:pt idx="0">
                  <c:v>50</c:v>
                </c:pt>
                <c:pt idx="1">
                  <c:v>48.75</c:v>
                </c:pt>
                <c:pt idx="2">
                  <c:v>46.75</c:v>
                </c:pt>
                <c:pt idx="3">
                  <c:v>44.5</c:v>
                </c:pt>
                <c:pt idx="4">
                  <c:v>41.25</c:v>
                </c:pt>
                <c:pt idx="5">
                  <c:v>37</c:v>
                </c:pt>
                <c:pt idx="6">
                  <c:v>31.25</c:v>
                </c:pt>
                <c:pt idx="7">
                  <c:v>25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8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7217536"/>
        <c:axId val="97256960"/>
      </c:scatterChart>
      <c:valAx>
        <c:axId val="9721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56960"/>
        <c:crosses val="autoZero"/>
        <c:crossBetween val="midCat"/>
      </c:valAx>
      <c:valAx>
        <c:axId val="9725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175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1988"/>
          <c:y val="0.36541598694943289"/>
          <c:w val="0.10387216648086213"/>
          <c:h val="0.31668186664269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2</xdr:row>
      <xdr:rowOff>104775</xdr:rowOff>
    </xdr:from>
    <xdr:to>
      <xdr:col>22</xdr:col>
      <xdr:colOff>171450</xdr:colOff>
      <xdr:row>5</xdr:row>
      <xdr:rowOff>2972</xdr:rowOff>
    </xdr:to>
    <xdr:pic>
      <xdr:nvPicPr>
        <xdr:cNvPr id="1025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428625"/>
          <a:ext cx="1352550" cy="42207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0.606</cdr:x>
      <cdr:y>0.79709</cdr:y>
    </cdr:from>
    <cdr:to>
      <cdr:x>0.84303</cdr:x>
      <cdr:y>0.8263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7619" y="4654069"/>
          <a:ext cx="202517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$$ / 1000 Gal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1749" y="0"/>
    <xdr:ext cx="8636000" cy="58070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0.66174</cdr:x>
      <cdr:y>0.7989</cdr:y>
    </cdr:from>
    <cdr:to>
      <cdr:x>0.8345</cdr:x>
      <cdr:y>0.82811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3857" y="4664637"/>
          <a:ext cx="147604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feet</a:t>
          </a:r>
        </a:p>
      </cdr:txBody>
    </cdr:sp>
  </cdr:relSizeAnchor>
  <cdr:relSizeAnchor xmlns:cdr="http://schemas.openxmlformats.org/drawingml/2006/chartDrawing">
    <cdr:from>
      <cdr:x>0.44853</cdr:x>
      <cdr:y>0.1294</cdr:y>
    </cdr:from>
    <cdr:to>
      <cdr:x>0.70466</cdr:x>
      <cdr:y>0.17131</cdr:y>
    </cdr:to>
    <cdr:sp macro="" textlink="VSPA!$P$11:$W$11">
      <cdr:nvSpPr>
        <cdr:cNvPr id="6" name="TextBox 5"/>
        <cdr:cNvSpPr txBox="1"/>
      </cdr:nvSpPr>
      <cdr:spPr>
        <a:xfrm xmlns:a="http://schemas.openxmlformats.org/drawingml/2006/main">
          <a:off x="3873498" y="751417"/>
          <a:ext cx="2211918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FDB2F23-43C1-49D3-A04B-F6031D048731}" type="TxLink">
            <a:rPr lang="en-US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pPr/>
            <a:t>Cornell 5RB 1780 RPM 13.5" Trim</a:t>
          </a:fld>
          <a:endParaRPr lang="en-US" sz="10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0.64688</cdr:x>
      <cdr:y>0.7989</cdr:y>
    </cdr:from>
    <cdr:to>
      <cdr:x>0.85471</cdr:x>
      <cdr:y>0.83197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6857" y="4664637"/>
          <a:ext cx="1775684" cy="193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Pump Ef</a:t>
          </a:r>
        </a:p>
      </cdr:txBody>
    </cdr:sp>
  </cdr:relSizeAnchor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3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0.66174</cdr:x>
      <cdr:y>0.7989</cdr:y>
    </cdr:from>
    <cdr:to>
      <cdr:x>0.8395</cdr:x>
      <cdr:y>0.82811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3857" y="4664637"/>
          <a:ext cx="151874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BHP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0.606</cdr:x>
      <cdr:y>0.79709</cdr:y>
    </cdr:from>
    <cdr:to>
      <cdr:x>0.85802</cdr:x>
      <cdr:y>0.8263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7619" y="4654069"/>
          <a:ext cx="215328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kWh / 1000 Gal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umptechnw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umped101.com/" TargetMode="External"/><Relationship Id="rId1" Type="http://schemas.openxmlformats.org/officeDocument/2006/relationships/hyperlink" Target="http://www.pumped101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umptechnw.com/" TargetMode="External"/><Relationship Id="rId4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X172"/>
  <sheetViews>
    <sheetView showGridLines="0" tabSelected="1" topLeftCell="G1" workbookViewId="0">
      <selection activeCell="H28" sqref="H28"/>
    </sheetView>
  </sheetViews>
  <sheetFormatPr defaultRowHeight="12.75"/>
  <cols>
    <col min="1" max="6" width="1.7109375" hidden="1" customWidth="1"/>
    <col min="7" max="7" width="6.7109375" customWidth="1"/>
    <col min="8" max="8" width="8.7109375" customWidth="1"/>
    <col min="9" max="41" width="6.7109375" customWidth="1"/>
    <col min="42" max="43" width="7.7109375" customWidth="1"/>
  </cols>
  <sheetData>
    <row r="3" spans="2:24" ht="15.75">
      <c r="H3" s="22" t="s">
        <v>137</v>
      </c>
    </row>
    <row r="5" spans="2:24">
      <c r="H5" s="16" t="s">
        <v>49</v>
      </c>
      <c r="L5" s="13" t="s">
        <v>50</v>
      </c>
      <c r="M5" s="13"/>
      <c r="N5" s="13"/>
      <c r="O5" s="13"/>
      <c r="P5" s="13" t="s">
        <v>129</v>
      </c>
      <c r="Q5" s="13"/>
      <c r="R5" s="13"/>
      <c r="S5" s="13"/>
    </row>
    <row r="6" spans="2:24">
      <c r="H6" s="9"/>
    </row>
    <row r="8" spans="2:24">
      <c r="B8" s="9"/>
      <c r="H8" s="16" t="s">
        <v>51</v>
      </c>
      <c r="P8" s="6"/>
      <c r="Q8" s="6"/>
      <c r="R8" s="6"/>
      <c r="S8" s="6"/>
      <c r="T8" s="6"/>
      <c r="U8" s="6"/>
      <c r="V8" s="6"/>
      <c r="W8" s="6"/>
    </row>
    <row r="9" spans="2:24">
      <c r="H9" s="16" t="s">
        <v>128</v>
      </c>
      <c r="P9" s="12"/>
      <c r="Q9" s="12"/>
      <c r="R9" s="12"/>
      <c r="S9" s="12"/>
      <c r="T9" s="12"/>
      <c r="U9" s="12"/>
      <c r="V9" s="12"/>
      <c r="W9" s="12"/>
    </row>
    <row r="10" spans="2:24">
      <c r="B10" s="2"/>
      <c r="I10" s="2"/>
    </row>
    <row r="11" spans="2:24">
      <c r="B11" s="2"/>
      <c r="H11" s="2" t="s">
        <v>52</v>
      </c>
      <c r="I11" s="2"/>
      <c r="P11" s="19" t="s">
        <v>88</v>
      </c>
      <c r="Q11" s="17"/>
      <c r="R11" s="17"/>
      <c r="S11" s="17"/>
      <c r="T11" s="17"/>
      <c r="U11" s="17"/>
      <c r="V11" s="17"/>
      <c r="W11" s="18"/>
    </row>
    <row r="12" spans="2:24">
      <c r="B12" s="2"/>
      <c r="I12" s="2"/>
    </row>
    <row r="13" spans="2:24">
      <c r="B13" t="s">
        <v>18</v>
      </c>
      <c r="H13" s="2" t="s">
        <v>54</v>
      </c>
      <c r="P13" s="24" t="s">
        <v>0</v>
      </c>
      <c r="Q13" s="24" t="s">
        <v>1</v>
      </c>
      <c r="R13" s="24" t="s">
        <v>2</v>
      </c>
      <c r="S13" s="24" t="s">
        <v>3</v>
      </c>
      <c r="T13" s="25" t="s">
        <v>4</v>
      </c>
      <c r="U13" s="25" t="s">
        <v>11</v>
      </c>
      <c r="V13" s="25" t="s">
        <v>13</v>
      </c>
      <c r="W13" s="25" t="s">
        <v>15</v>
      </c>
    </row>
    <row r="14" spans="2:24" ht="12.75" customHeight="1">
      <c r="H14" s="10" t="s">
        <v>63</v>
      </c>
      <c r="P14" s="14">
        <v>500</v>
      </c>
      <c r="Q14" s="14">
        <v>750</v>
      </c>
      <c r="R14" s="14">
        <v>1000</v>
      </c>
      <c r="S14" s="14">
        <v>1250</v>
      </c>
      <c r="T14" s="14">
        <v>1500</v>
      </c>
      <c r="U14" s="14">
        <v>1750</v>
      </c>
      <c r="V14" s="14">
        <v>2000</v>
      </c>
      <c r="W14" s="14">
        <v>2250</v>
      </c>
    </row>
    <row r="15" spans="2:24" ht="6" customHeight="1">
      <c r="P15" s="23"/>
      <c r="Q15" s="23"/>
      <c r="R15" s="23"/>
      <c r="S15" s="23"/>
      <c r="T15" s="23"/>
      <c r="U15" s="23"/>
      <c r="V15" s="23"/>
      <c r="W15" s="23"/>
    </row>
    <row r="16" spans="2:24">
      <c r="H16" s="10" t="s">
        <v>62</v>
      </c>
      <c r="P16" s="24" t="s">
        <v>6</v>
      </c>
      <c r="Q16" s="24" t="s">
        <v>7</v>
      </c>
      <c r="R16" s="24" t="s">
        <v>8</v>
      </c>
      <c r="S16" s="24" t="s">
        <v>9</v>
      </c>
      <c r="T16" s="25" t="s">
        <v>10</v>
      </c>
      <c r="U16" s="25" t="s">
        <v>12</v>
      </c>
      <c r="V16" s="25" t="s">
        <v>14</v>
      </c>
      <c r="W16" s="25" t="s">
        <v>16</v>
      </c>
      <c r="X16" s="5"/>
    </row>
    <row r="17" spans="1:24" ht="12.75" customHeight="1">
      <c r="A17">
        <v>60</v>
      </c>
      <c r="B17" s="3">
        <v>3600</v>
      </c>
      <c r="C17" s="4">
        <f>A17/60</f>
        <v>1</v>
      </c>
      <c r="D17" s="4">
        <v>1</v>
      </c>
      <c r="E17" s="4">
        <v>1</v>
      </c>
      <c r="F17" s="4"/>
      <c r="P17" s="14">
        <v>200</v>
      </c>
      <c r="Q17" s="14">
        <v>195</v>
      </c>
      <c r="R17" s="14">
        <v>187</v>
      </c>
      <c r="S17" s="14">
        <v>178</v>
      </c>
      <c r="T17" s="14">
        <v>165</v>
      </c>
      <c r="U17" s="14">
        <v>148</v>
      </c>
      <c r="V17" s="14">
        <v>125</v>
      </c>
      <c r="W17" s="14">
        <v>100</v>
      </c>
    </row>
    <row r="18" spans="1:24" ht="12.75" customHeight="1">
      <c r="B18" s="3"/>
      <c r="C18" s="4"/>
      <c r="D18" s="4"/>
      <c r="E18" s="4"/>
      <c r="F18" s="4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2.75" customHeight="1">
      <c r="G19" s="6"/>
      <c r="H19" s="2" t="s">
        <v>73</v>
      </c>
      <c r="L19" s="1"/>
      <c r="P19" s="24" t="s">
        <v>31</v>
      </c>
      <c r="Q19" s="24" t="s">
        <v>32</v>
      </c>
      <c r="R19" s="24" t="s">
        <v>33</v>
      </c>
      <c r="S19" s="24" t="s">
        <v>34</v>
      </c>
      <c r="T19" s="24" t="s">
        <v>35</v>
      </c>
      <c r="U19" s="24" t="s">
        <v>36</v>
      </c>
      <c r="V19" s="24" t="s">
        <v>37</v>
      </c>
      <c r="W19" s="24" t="s">
        <v>38</v>
      </c>
      <c r="X19" s="1"/>
    </row>
    <row r="20" spans="1:24" ht="12.75" customHeight="1">
      <c r="G20" s="6"/>
      <c r="H20" s="10" t="s">
        <v>74</v>
      </c>
      <c r="P20" s="21">
        <v>0.6</v>
      </c>
      <c r="Q20" s="21">
        <v>0.72</v>
      </c>
      <c r="R20" s="21">
        <v>0.8</v>
      </c>
      <c r="S20" s="21">
        <v>0.84</v>
      </c>
      <c r="T20" s="21">
        <v>0.86</v>
      </c>
      <c r="U20" s="21">
        <v>0.86</v>
      </c>
      <c r="V20" s="21">
        <v>0.83</v>
      </c>
      <c r="W20" s="21">
        <v>0.74</v>
      </c>
      <c r="X20" s="1"/>
    </row>
    <row r="21" spans="1:24" ht="12.75" customHeight="1">
      <c r="G21" s="6"/>
      <c r="K21" s="1"/>
      <c r="L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>
      <c r="G22" s="6"/>
      <c r="H22" s="10" t="s">
        <v>72</v>
      </c>
      <c r="K22" s="1"/>
      <c r="L22" s="1"/>
      <c r="P22" s="24" t="s">
        <v>55</v>
      </c>
      <c r="Q22" s="26">
        <v>1850</v>
      </c>
      <c r="R22" s="24" t="s">
        <v>56</v>
      </c>
      <c r="S22" s="26">
        <v>140</v>
      </c>
      <c r="T22" s="24" t="s">
        <v>57</v>
      </c>
      <c r="U22" s="30">
        <v>0.85</v>
      </c>
      <c r="V22" s="1"/>
      <c r="W22" s="1"/>
      <c r="X22" s="1"/>
    </row>
    <row r="23" spans="1:24" ht="12.75" customHeight="1">
      <c r="G23" s="6"/>
      <c r="K23" s="1"/>
      <c r="L23" s="1"/>
      <c r="P23" s="1"/>
      <c r="Q23" s="1"/>
      <c r="R23" s="1"/>
      <c r="S23" s="1"/>
      <c r="T23" s="1"/>
      <c r="U23" s="31"/>
      <c r="V23" s="1"/>
      <c r="W23" s="1"/>
      <c r="X23" s="1"/>
    </row>
    <row r="24" spans="1:24" ht="12.75" customHeight="1">
      <c r="G24" s="6"/>
      <c r="H24" s="10" t="s">
        <v>75</v>
      </c>
      <c r="K24" s="1"/>
      <c r="L24" s="1"/>
      <c r="P24" s="24" t="s">
        <v>58</v>
      </c>
      <c r="Q24" s="26">
        <v>1700</v>
      </c>
      <c r="R24" s="24" t="s">
        <v>59</v>
      </c>
      <c r="S24" s="26">
        <v>154</v>
      </c>
      <c r="T24" s="24" t="s">
        <v>60</v>
      </c>
      <c r="U24" s="30">
        <v>0.86</v>
      </c>
      <c r="V24" s="24" t="s">
        <v>76</v>
      </c>
      <c r="W24" s="26">
        <v>14</v>
      </c>
      <c r="X24" s="1"/>
    </row>
    <row r="25" spans="1:24" ht="12.75" customHeight="1">
      <c r="G25" s="6"/>
      <c r="K25" s="1"/>
      <c r="L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>
      <c r="G26" s="6"/>
      <c r="H26" s="10" t="s">
        <v>85</v>
      </c>
      <c r="K26" s="1"/>
      <c r="L26" s="1"/>
      <c r="P26" s="24" t="s">
        <v>64</v>
      </c>
      <c r="Q26" s="30">
        <v>0.9</v>
      </c>
      <c r="R26" s="24" t="s">
        <v>71</v>
      </c>
      <c r="S26" s="26">
        <v>1780</v>
      </c>
      <c r="V26" s="43" t="s">
        <v>86</v>
      </c>
      <c r="W26" s="42">
        <v>0.1</v>
      </c>
      <c r="X26" s="1"/>
    </row>
    <row r="27" spans="1:24" ht="12.75" customHeight="1">
      <c r="G27" s="6"/>
      <c r="H27" s="10" t="s">
        <v>153</v>
      </c>
      <c r="K27" s="1"/>
      <c r="L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>
      <c r="G28" s="6"/>
      <c r="H28" s="10"/>
      <c r="K28" s="1"/>
      <c r="L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>
      <c r="H29" s="2" t="s">
        <v>61</v>
      </c>
      <c r="P29" s="25" t="s">
        <v>23</v>
      </c>
      <c r="Q29" s="25" t="s">
        <v>24</v>
      </c>
      <c r="R29" s="25" t="s">
        <v>25</v>
      </c>
      <c r="S29" s="25" t="s">
        <v>26</v>
      </c>
      <c r="T29" s="25" t="s">
        <v>27</v>
      </c>
      <c r="U29" s="25" t="s">
        <v>28</v>
      </c>
      <c r="V29" s="25" t="s">
        <v>29</v>
      </c>
      <c r="W29" s="25" t="s">
        <v>30</v>
      </c>
      <c r="X29" s="1"/>
    </row>
    <row r="30" spans="1:24" ht="12.75" customHeight="1">
      <c r="H30" s="10" t="s">
        <v>65</v>
      </c>
      <c r="P30" s="15">
        <v>125</v>
      </c>
      <c r="Q30" s="15">
        <v>125</v>
      </c>
      <c r="R30" s="15">
        <v>125</v>
      </c>
      <c r="S30" s="15">
        <v>127</v>
      </c>
      <c r="T30" s="15">
        <v>130</v>
      </c>
      <c r="U30" s="15">
        <v>137</v>
      </c>
      <c r="V30" s="15">
        <v>147</v>
      </c>
      <c r="W30" s="15">
        <v>162</v>
      </c>
    </row>
    <row r="31" spans="1:24" ht="12.75" customHeight="1">
      <c r="B31" s="11"/>
      <c r="H31" s="10" t="s">
        <v>66</v>
      </c>
      <c r="P31" s="1"/>
      <c r="Q31" s="1"/>
      <c r="R31" s="1"/>
      <c r="S31" s="1"/>
      <c r="T31" s="1"/>
      <c r="U31" s="1"/>
      <c r="V31" s="1"/>
      <c r="W31" s="1"/>
    </row>
    <row r="32" spans="1:24">
      <c r="B32" s="11"/>
      <c r="P32" s="1"/>
      <c r="Q32" s="1"/>
      <c r="R32" s="1"/>
      <c r="S32" s="1"/>
      <c r="T32" s="1"/>
      <c r="U32" s="1"/>
      <c r="V32" s="1"/>
      <c r="W32" s="1"/>
    </row>
    <row r="33" spans="2:23">
      <c r="B33" s="11"/>
    </row>
    <row r="34" spans="2:23">
      <c r="B34" s="11"/>
    </row>
    <row r="35" spans="2:23">
      <c r="B35" s="11"/>
      <c r="P35" s="20"/>
      <c r="Q35" s="20"/>
      <c r="R35" s="20"/>
      <c r="S35" s="20"/>
      <c r="T35" s="20"/>
      <c r="U35" s="20"/>
      <c r="V35" s="20"/>
      <c r="W35" s="20"/>
    </row>
    <row r="36" spans="2:23">
      <c r="B36" s="11"/>
      <c r="P36" s="20"/>
      <c r="Q36" s="20"/>
      <c r="R36" s="20"/>
      <c r="S36" s="20"/>
      <c r="T36" s="20"/>
      <c r="U36" s="20"/>
      <c r="V36" s="20"/>
      <c r="W36" s="20"/>
    </row>
    <row r="37" spans="2:23">
      <c r="B37" s="11"/>
      <c r="H37" s="16"/>
      <c r="L37" s="1"/>
    </row>
    <row r="38" spans="2:23">
      <c r="B38" s="11"/>
      <c r="L38" s="1"/>
    </row>
    <row r="39" spans="2:23">
      <c r="B39" s="11"/>
      <c r="L39" s="1"/>
    </row>
    <row r="40" spans="2:23">
      <c r="B40" s="11"/>
      <c r="L40" s="1"/>
    </row>
    <row r="41" spans="2:23">
      <c r="B41" s="11"/>
      <c r="L41" s="1"/>
    </row>
    <row r="42" spans="2:23">
      <c r="B42" s="11"/>
      <c r="L42" s="1"/>
    </row>
    <row r="43" spans="2:23">
      <c r="I43" s="2"/>
      <c r="L43" s="1"/>
    </row>
    <row r="44" spans="2:23">
      <c r="B44" s="2" t="s">
        <v>5</v>
      </c>
      <c r="H44" s="2" t="s">
        <v>53</v>
      </c>
    </row>
    <row r="45" spans="2:23">
      <c r="B45" s="2"/>
      <c r="H45" s="2"/>
    </row>
    <row r="46" spans="2:23">
      <c r="H46" t="s">
        <v>89</v>
      </c>
    </row>
    <row r="47" spans="2:23">
      <c r="H47" t="s">
        <v>90</v>
      </c>
    </row>
    <row r="48" spans="2:23">
      <c r="H48" s="10" t="s">
        <v>91</v>
      </c>
    </row>
    <row r="49" spans="2:8">
      <c r="H49" s="10" t="s">
        <v>92</v>
      </c>
    </row>
    <row r="50" spans="2:8">
      <c r="H50" s="10" t="s">
        <v>93</v>
      </c>
    </row>
    <row r="51" spans="2:8">
      <c r="H51" s="10" t="s">
        <v>94</v>
      </c>
    </row>
    <row r="52" spans="2:8">
      <c r="H52" s="10"/>
    </row>
    <row r="53" spans="2:8">
      <c r="H53" s="2" t="s">
        <v>39</v>
      </c>
    </row>
    <row r="54" spans="2:8">
      <c r="H54" s="2"/>
    </row>
    <row r="55" spans="2:8">
      <c r="H55" s="10" t="s">
        <v>40</v>
      </c>
    </row>
    <row r="56" spans="2:8">
      <c r="H56" s="10"/>
    </row>
    <row r="57" spans="2:8">
      <c r="H57" s="2" t="s">
        <v>41</v>
      </c>
    </row>
    <row r="58" spans="2:8">
      <c r="H58" s="10"/>
    </row>
    <row r="59" spans="2:8">
      <c r="B59" t="s">
        <v>17</v>
      </c>
      <c r="H59" t="s">
        <v>42</v>
      </c>
    </row>
    <row r="60" spans="2:8">
      <c r="B60" t="s">
        <v>19</v>
      </c>
      <c r="H60" t="s">
        <v>44</v>
      </c>
    </row>
    <row r="61" spans="2:8">
      <c r="B61" t="s">
        <v>20</v>
      </c>
      <c r="H61" t="s">
        <v>43</v>
      </c>
    </row>
    <row r="62" spans="2:8">
      <c r="B62" t="s">
        <v>21</v>
      </c>
      <c r="H62" t="s">
        <v>45</v>
      </c>
    </row>
    <row r="63" spans="2:8">
      <c r="B63" t="s">
        <v>22</v>
      </c>
      <c r="H63" s="10" t="s">
        <v>95</v>
      </c>
    </row>
    <row r="64" spans="2:8">
      <c r="H64" s="10" t="s">
        <v>96</v>
      </c>
    </row>
    <row r="65" spans="8:8">
      <c r="H65" s="10" t="s">
        <v>97</v>
      </c>
    </row>
    <row r="67" spans="8:8">
      <c r="H67" s="2" t="s">
        <v>46</v>
      </c>
    </row>
    <row r="69" spans="8:8">
      <c r="H69" s="10" t="s">
        <v>109</v>
      </c>
    </row>
    <row r="70" spans="8:8">
      <c r="H70" s="10" t="s">
        <v>110</v>
      </c>
    </row>
    <row r="71" spans="8:8">
      <c r="H71" s="10"/>
    </row>
    <row r="72" spans="8:8">
      <c r="H72" s="2" t="s">
        <v>47</v>
      </c>
    </row>
    <row r="74" spans="8:8">
      <c r="H74" s="10" t="s">
        <v>98</v>
      </c>
    </row>
    <row r="76" spans="8:8">
      <c r="H76" s="2" t="s">
        <v>99</v>
      </c>
    </row>
    <row r="78" spans="8:8">
      <c r="H78" s="10" t="s">
        <v>100</v>
      </c>
    </row>
    <row r="79" spans="8:8">
      <c r="H79" s="10"/>
    </row>
    <row r="80" spans="8:8">
      <c r="H80" s="2" t="s">
        <v>104</v>
      </c>
    </row>
    <row r="81" spans="8:8">
      <c r="H81" s="10"/>
    </row>
    <row r="82" spans="8:8">
      <c r="H82" s="10" t="s">
        <v>101</v>
      </c>
    </row>
    <row r="83" spans="8:8">
      <c r="H83" s="10" t="s">
        <v>102</v>
      </c>
    </row>
    <row r="84" spans="8:8">
      <c r="H84" s="10" t="s">
        <v>103</v>
      </c>
    </row>
    <row r="85" spans="8:8">
      <c r="H85" s="10"/>
    </row>
    <row r="86" spans="8:8">
      <c r="H86" s="2" t="s">
        <v>105</v>
      </c>
    </row>
    <row r="87" spans="8:8">
      <c r="H87" s="10"/>
    </row>
    <row r="88" spans="8:8">
      <c r="H88" s="10" t="s">
        <v>106</v>
      </c>
    </row>
    <row r="89" spans="8:8">
      <c r="H89" s="10" t="s">
        <v>107</v>
      </c>
    </row>
    <row r="90" spans="8:8">
      <c r="H90" s="10" t="s">
        <v>108</v>
      </c>
    </row>
    <row r="91" spans="8:8">
      <c r="H91" s="10"/>
    </row>
    <row r="92" spans="8:8">
      <c r="H92" s="2" t="s">
        <v>130</v>
      </c>
    </row>
    <row r="93" spans="8:8">
      <c r="H93" s="10"/>
    </row>
    <row r="94" spans="8:8">
      <c r="H94" s="10" t="s">
        <v>131</v>
      </c>
    </row>
    <row r="95" spans="8:8">
      <c r="H95" s="10" t="s">
        <v>132</v>
      </c>
    </row>
    <row r="96" spans="8:8">
      <c r="H96" s="10" t="s">
        <v>133</v>
      </c>
    </row>
    <row r="98" spans="8:8">
      <c r="H98" s="2" t="s">
        <v>48</v>
      </c>
    </row>
    <row r="99" spans="8:8">
      <c r="H99" s="2"/>
    </row>
    <row r="100" spans="8:8">
      <c r="H100" s="10" t="s">
        <v>111</v>
      </c>
    </row>
    <row r="101" spans="8:8" s="10" customFormat="1">
      <c r="H101" s="10" t="s">
        <v>112</v>
      </c>
    </row>
    <row r="102" spans="8:8" s="10" customFormat="1">
      <c r="H102" s="10" t="s">
        <v>127</v>
      </c>
    </row>
    <row r="103" spans="8:8" s="10" customFormat="1"/>
    <row r="104" spans="8:8" s="10" customFormat="1">
      <c r="H104" s="10" t="s">
        <v>113</v>
      </c>
    </row>
    <row r="105" spans="8:8" s="10" customFormat="1">
      <c r="H105" s="10" t="s">
        <v>114</v>
      </c>
    </row>
    <row r="106" spans="8:8" s="10" customFormat="1">
      <c r="H106" s="10" t="s">
        <v>115</v>
      </c>
    </row>
    <row r="107" spans="8:8" s="10" customFormat="1"/>
    <row r="108" spans="8:8" s="10" customFormat="1">
      <c r="H108" s="10" t="s">
        <v>116</v>
      </c>
    </row>
    <row r="109" spans="8:8" s="10" customFormat="1">
      <c r="H109" s="10" t="s">
        <v>117</v>
      </c>
    </row>
    <row r="110" spans="8:8" s="10" customFormat="1">
      <c r="H110" s="10" t="s">
        <v>118</v>
      </c>
    </row>
    <row r="111" spans="8:8" s="10" customFormat="1"/>
    <row r="112" spans="8:8" s="10" customFormat="1">
      <c r="H112" s="10" t="s">
        <v>119</v>
      </c>
    </row>
    <row r="113" spans="8:14" s="10" customFormat="1">
      <c r="H113" s="10" t="s">
        <v>120</v>
      </c>
    </row>
    <row r="114" spans="8:14" s="10" customFormat="1">
      <c r="H114" s="10" t="s">
        <v>121</v>
      </c>
    </row>
    <row r="115" spans="8:14" s="10" customFormat="1"/>
    <row r="116" spans="8:14" s="10" customFormat="1">
      <c r="H116" s="10" t="s">
        <v>123</v>
      </c>
    </row>
    <row r="117" spans="8:14" s="10" customFormat="1">
      <c r="H117" s="10" t="s">
        <v>122</v>
      </c>
    </row>
    <row r="118" spans="8:14" s="10" customFormat="1"/>
    <row r="119" spans="8:14" s="10" customFormat="1">
      <c r="H119" s="10" t="s">
        <v>124</v>
      </c>
    </row>
    <row r="120" spans="8:14" s="10" customFormat="1">
      <c r="H120" s="10" t="s">
        <v>125</v>
      </c>
    </row>
    <row r="121" spans="8:14" s="10" customFormat="1"/>
    <row r="122" spans="8:14" s="10" customFormat="1">
      <c r="H122" s="10" t="s">
        <v>126</v>
      </c>
    </row>
    <row r="123" spans="8:14" s="10" customFormat="1">
      <c r="H123" s="10" t="s">
        <v>134</v>
      </c>
    </row>
    <row r="124" spans="8:14" s="10" customFormat="1">
      <c r="H124" s="10" t="s">
        <v>135</v>
      </c>
    </row>
    <row r="125" spans="8:14" s="10" customFormat="1">
      <c r="H125" s="10" t="s">
        <v>136</v>
      </c>
    </row>
    <row r="126" spans="8:14" s="10" customFormat="1"/>
    <row r="127" spans="8:14">
      <c r="H127" s="13" t="s">
        <v>50</v>
      </c>
      <c r="N127" s="13"/>
    </row>
    <row r="131" spans="1:50" ht="0.95" customHeight="1">
      <c r="A131">
        <v>59</v>
      </c>
      <c r="B131" s="1">
        <f t="shared" ref="B131:B160" si="0">(A131/60)*B$17</f>
        <v>3540</v>
      </c>
      <c r="C131" s="4">
        <f>A131/60</f>
        <v>0.98333333333333328</v>
      </c>
      <c r="D131" s="4">
        <f>C131*C131</f>
        <v>0.96694444444444438</v>
      </c>
      <c r="E131" s="4">
        <f>C131*D131</f>
        <v>0.95082870370370365</v>
      </c>
      <c r="F131" s="4"/>
      <c r="G131" s="6">
        <v>59</v>
      </c>
      <c r="H131" s="1">
        <f t="shared" ref="H131:H160" si="1">P$14*C131</f>
        <v>491.66666666666663</v>
      </c>
      <c r="I131" s="1">
        <f t="shared" ref="I131:I160" si="2">Q$14*$C131</f>
        <v>737.5</v>
      </c>
      <c r="J131" s="1">
        <f t="shared" ref="J131:J160" si="3">R$14*$C131</f>
        <v>983.33333333333326</v>
      </c>
      <c r="K131" s="1">
        <f t="shared" ref="K131:K160" si="4">S$14*$C131</f>
        <v>1229.1666666666665</v>
      </c>
      <c r="L131" s="1">
        <f t="shared" ref="L131:L160" si="5">T$14*$C131</f>
        <v>1475</v>
      </c>
      <c r="M131" s="1">
        <f t="shared" ref="M131:M160" si="6">U$14*$C131</f>
        <v>1720.8333333333333</v>
      </c>
      <c r="N131" s="1">
        <f t="shared" ref="N131:N160" si="7">V$14*$C131</f>
        <v>1966.6666666666665</v>
      </c>
      <c r="O131" s="1">
        <f t="shared" ref="O131:O160" si="8">W$14*$C131</f>
        <v>2212.5</v>
      </c>
      <c r="P131" s="1">
        <f t="shared" ref="P131:W140" si="9">P$17*$D131</f>
        <v>193.38888888888889</v>
      </c>
      <c r="Q131" s="1">
        <f t="shared" si="9"/>
        <v>188.55416666666665</v>
      </c>
      <c r="R131" s="1">
        <f t="shared" si="9"/>
        <v>180.8186111111111</v>
      </c>
      <c r="S131" s="1">
        <f t="shared" si="9"/>
        <v>172.11611111111111</v>
      </c>
      <c r="T131" s="1">
        <f t="shared" si="9"/>
        <v>159.54583333333332</v>
      </c>
      <c r="U131" s="1">
        <f t="shared" si="9"/>
        <v>143.10777777777776</v>
      </c>
      <c r="V131" s="1">
        <f t="shared" si="9"/>
        <v>120.86805555555554</v>
      </c>
      <c r="W131" s="1">
        <f t="shared" si="9"/>
        <v>96.694444444444443</v>
      </c>
      <c r="X131" s="8"/>
      <c r="Y131" s="6"/>
      <c r="Z131" s="10" t="s">
        <v>68</v>
      </c>
      <c r="AH131" t="s">
        <v>69</v>
      </c>
      <c r="AQ131" s="10" t="s">
        <v>87</v>
      </c>
    </row>
    <row r="132" spans="1:50" ht="0.95" customHeight="1">
      <c r="A132">
        <v>58</v>
      </c>
      <c r="B132" s="1">
        <f t="shared" si="0"/>
        <v>3480</v>
      </c>
      <c r="C132" s="4">
        <f>A132/60</f>
        <v>0.96666666666666667</v>
      </c>
      <c r="D132" s="4">
        <f t="shared" ref="D132:D160" si="10">C132*C132</f>
        <v>0.93444444444444441</v>
      </c>
      <c r="E132" s="4">
        <f t="shared" ref="E132:E160" si="11">C132*D132</f>
        <v>0.90329629629629626</v>
      </c>
      <c r="F132" s="4"/>
      <c r="G132" s="6">
        <v>58</v>
      </c>
      <c r="H132" s="1">
        <f t="shared" si="1"/>
        <v>483.33333333333331</v>
      </c>
      <c r="I132" s="1">
        <f t="shared" si="2"/>
        <v>725</v>
      </c>
      <c r="J132" s="1">
        <f t="shared" si="3"/>
        <v>966.66666666666663</v>
      </c>
      <c r="K132" s="1">
        <f t="shared" si="4"/>
        <v>1208.3333333333333</v>
      </c>
      <c r="L132" s="1">
        <f t="shared" si="5"/>
        <v>1450</v>
      </c>
      <c r="M132" s="1">
        <f t="shared" si="6"/>
        <v>1691.6666666666667</v>
      </c>
      <c r="N132" s="1">
        <f t="shared" si="7"/>
        <v>1933.3333333333333</v>
      </c>
      <c r="O132" s="1">
        <f t="shared" si="8"/>
        <v>2175</v>
      </c>
      <c r="P132" s="1">
        <f t="shared" si="9"/>
        <v>186.88888888888889</v>
      </c>
      <c r="Q132" s="1">
        <f t="shared" si="9"/>
        <v>182.21666666666667</v>
      </c>
      <c r="R132" s="1">
        <f t="shared" si="9"/>
        <v>174.74111111111111</v>
      </c>
      <c r="S132" s="1">
        <f t="shared" si="9"/>
        <v>166.33111111111111</v>
      </c>
      <c r="T132" s="1">
        <f t="shared" si="9"/>
        <v>154.18333333333334</v>
      </c>
      <c r="U132" s="1">
        <f t="shared" si="9"/>
        <v>138.29777777777778</v>
      </c>
      <c r="V132" s="1">
        <f t="shared" si="9"/>
        <v>116.80555555555556</v>
      </c>
      <c r="W132" s="1">
        <f t="shared" si="9"/>
        <v>93.444444444444443</v>
      </c>
      <c r="X132" s="1"/>
      <c r="Y132" s="28" t="s">
        <v>0</v>
      </c>
      <c r="Z132" s="29" t="s">
        <v>1</v>
      </c>
      <c r="AA132" s="29" t="s">
        <v>2</v>
      </c>
      <c r="AB132" s="29" t="s">
        <v>3</v>
      </c>
      <c r="AC132" s="29" t="s">
        <v>4</v>
      </c>
      <c r="AD132" s="29" t="s">
        <v>11</v>
      </c>
      <c r="AE132" s="29" t="s">
        <v>13</v>
      </c>
      <c r="AF132" s="29" t="s">
        <v>15</v>
      </c>
      <c r="AH132" s="6"/>
      <c r="AI132" s="6"/>
      <c r="AJ132" s="6"/>
      <c r="AK132" s="6"/>
      <c r="AL132" s="6"/>
      <c r="AM132" s="6"/>
      <c r="AN132" s="6"/>
      <c r="AO132" s="6"/>
    </row>
    <row r="133" spans="1:50" ht="0.95" customHeight="1">
      <c r="A133">
        <v>57</v>
      </c>
      <c r="B133" s="1">
        <f t="shared" si="0"/>
        <v>3420</v>
      </c>
      <c r="C133" s="4">
        <f t="shared" ref="C133:C160" si="12">A133/60</f>
        <v>0.95</v>
      </c>
      <c r="D133" s="4">
        <f t="shared" si="10"/>
        <v>0.90249999999999997</v>
      </c>
      <c r="E133" s="4">
        <f t="shared" si="11"/>
        <v>0.85737499999999989</v>
      </c>
      <c r="F133" s="4"/>
      <c r="G133" s="6">
        <v>57</v>
      </c>
      <c r="H133" s="1">
        <f t="shared" si="1"/>
        <v>475</v>
      </c>
      <c r="I133" s="1">
        <f t="shared" si="2"/>
        <v>712.5</v>
      </c>
      <c r="J133" s="1">
        <f t="shared" si="3"/>
        <v>950</v>
      </c>
      <c r="K133" s="1">
        <f t="shared" si="4"/>
        <v>1187.5</v>
      </c>
      <c r="L133" s="1">
        <f t="shared" si="5"/>
        <v>1425</v>
      </c>
      <c r="M133" s="1">
        <f t="shared" si="6"/>
        <v>1662.5</v>
      </c>
      <c r="N133" s="1">
        <f t="shared" si="7"/>
        <v>1900</v>
      </c>
      <c r="O133" s="1">
        <f t="shared" si="8"/>
        <v>2137.5</v>
      </c>
      <c r="P133" s="1">
        <f t="shared" si="9"/>
        <v>180.5</v>
      </c>
      <c r="Q133" s="1">
        <f t="shared" si="9"/>
        <v>175.98749999999998</v>
      </c>
      <c r="R133" s="1">
        <f t="shared" si="9"/>
        <v>168.76749999999998</v>
      </c>
      <c r="S133" s="1">
        <f t="shared" si="9"/>
        <v>160.64499999999998</v>
      </c>
      <c r="T133" s="1">
        <f t="shared" si="9"/>
        <v>148.91249999999999</v>
      </c>
      <c r="U133" s="1">
        <f t="shared" si="9"/>
        <v>133.57</v>
      </c>
      <c r="V133" s="1">
        <f t="shared" si="9"/>
        <v>112.8125</v>
      </c>
      <c r="W133" s="1">
        <f t="shared" si="9"/>
        <v>90.25</v>
      </c>
      <c r="X133" s="1"/>
      <c r="Y133" s="8">
        <f t="shared" ref="Y133:AF133" si="13">(P14*P17)/(3960*P20)</f>
        <v>42.08754208754209</v>
      </c>
      <c r="Z133" s="8">
        <f t="shared" si="13"/>
        <v>51.294191919191924</v>
      </c>
      <c r="AA133" s="8">
        <f t="shared" si="13"/>
        <v>59.027777777777779</v>
      </c>
      <c r="AB133" s="8">
        <f t="shared" si="13"/>
        <v>66.889129389129394</v>
      </c>
      <c r="AC133" s="8">
        <f t="shared" si="13"/>
        <v>72.674418604651166</v>
      </c>
      <c r="AD133" s="8">
        <f t="shared" si="13"/>
        <v>76.051209772140012</v>
      </c>
      <c r="AE133" s="8">
        <f t="shared" si="13"/>
        <v>76.061823049774858</v>
      </c>
      <c r="AF133" s="8">
        <f t="shared" si="13"/>
        <v>76.781326781326783</v>
      </c>
      <c r="AH133" s="41">
        <f>(((Y133*0.746)/Q26)/60)*(1000/P14)</f>
        <v>1.162863199900237</v>
      </c>
      <c r="AI133" s="41">
        <f>(((Z133*0.746)/Q26)/60)*(1000/Q14)</f>
        <v>0.94482634991894265</v>
      </c>
      <c r="AJ133" s="41">
        <f>(((AA133*0.746)/Q26)/60)*(1000/R14)</f>
        <v>0.8154578189300411</v>
      </c>
      <c r="AK133" s="41">
        <f>(((AB133*0.746)/Q26)/60)*(1000/S14)</f>
        <v>0.73924874850800792</v>
      </c>
      <c r="AL133" s="41">
        <f>(((AC133*0.746)/Q26)/60)*(1000/T14)</f>
        <v>0.66932242319839219</v>
      </c>
      <c r="AM133" s="41">
        <f>(((AD133*0.746)/Q26)/60)*(1000/U14)</f>
        <v>0.60036193111128522</v>
      </c>
      <c r="AN133" s="41">
        <f>(((AE133*0.746)/Q26)/60)*(1000/V14)</f>
        <v>0.5253899999549263</v>
      </c>
      <c r="AO133" s="41">
        <f>(((AF133*0.746)/Q26)/60)*(1000/W14)</f>
        <v>0.47143102698658257</v>
      </c>
      <c r="AP133" s="1"/>
      <c r="AQ133" s="44">
        <f t="shared" ref="AQ133:AX133" si="14">AH133*$W26</f>
        <v>0.1162863199900237</v>
      </c>
      <c r="AR133" s="44">
        <f t="shared" si="14"/>
        <v>9.4482634991894271E-2</v>
      </c>
      <c r="AS133" s="44">
        <f t="shared" si="14"/>
        <v>8.1545781893004113E-2</v>
      </c>
      <c r="AT133" s="44">
        <f t="shared" si="14"/>
        <v>7.3924874850800792E-2</v>
      </c>
      <c r="AU133" s="44">
        <f t="shared" si="14"/>
        <v>6.6932242319839227E-2</v>
      </c>
      <c r="AV133" s="44">
        <f t="shared" si="14"/>
        <v>6.0036193111128525E-2</v>
      </c>
      <c r="AW133" s="44">
        <f t="shared" si="14"/>
        <v>5.2538999995492636E-2</v>
      </c>
      <c r="AX133" s="44">
        <f t="shared" si="14"/>
        <v>4.7143102698658262E-2</v>
      </c>
    </row>
    <row r="134" spans="1:50" ht="0.95" customHeight="1">
      <c r="A134">
        <v>56</v>
      </c>
      <c r="B134" s="1">
        <f t="shared" si="0"/>
        <v>3360</v>
      </c>
      <c r="C134" s="4">
        <f t="shared" si="12"/>
        <v>0.93333333333333335</v>
      </c>
      <c r="D134" s="4">
        <f t="shared" si="10"/>
        <v>0.87111111111111117</v>
      </c>
      <c r="E134" s="4">
        <f t="shared" si="11"/>
        <v>0.81303703703703711</v>
      </c>
      <c r="F134" s="4"/>
      <c r="G134" s="6">
        <v>56</v>
      </c>
      <c r="H134" s="1">
        <f t="shared" si="1"/>
        <v>466.66666666666669</v>
      </c>
      <c r="I134" s="1">
        <f t="shared" si="2"/>
        <v>700</v>
      </c>
      <c r="J134" s="1">
        <f t="shared" si="3"/>
        <v>933.33333333333337</v>
      </c>
      <c r="K134" s="1">
        <f t="shared" si="4"/>
        <v>1166.6666666666667</v>
      </c>
      <c r="L134" s="1">
        <f t="shared" si="5"/>
        <v>1400</v>
      </c>
      <c r="M134" s="1">
        <f t="shared" si="6"/>
        <v>1633.3333333333333</v>
      </c>
      <c r="N134" s="1">
        <f t="shared" si="7"/>
        <v>1866.6666666666667</v>
      </c>
      <c r="O134" s="1">
        <f t="shared" si="8"/>
        <v>2100</v>
      </c>
      <c r="P134" s="1">
        <f t="shared" si="9"/>
        <v>174.22222222222223</v>
      </c>
      <c r="Q134" s="1">
        <f t="shared" si="9"/>
        <v>169.86666666666667</v>
      </c>
      <c r="R134" s="1">
        <f t="shared" si="9"/>
        <v>162.89777777777778</v>
      </c>
      <c r="S134" s="1">
        <f t="shared" si="9"/>
        <v>155.0577777777778</v>
      </c>
      <c r="T134" s="1">
        <f t="shared" si="9"/>
        <v>143.73333333333335</v>
      </c>
      <c r="U134" s="1">
        <f t="shared" si="9"/>
        <v>128.92444444444445</v>
      </c>
      <c r="V134" s="1">
        <f t="shared" si="9"/>
        <v>108.8888888888889</v>
      </c>
      <c r="W134" s="1">
        <f t="shared" si="9"/>
        <v>87.111111111111114</v>
      </c>
      <c r="X134" s="1"/>
      <c r="AH134" s="1"/>
      <c r="AI134" s="1"/>
      <c r="AJ134" s="1"/>
      <c r="AK134" s="1"/>
      <c r="AL134" s="1"/>
      <c r="AM134" s="1"/>
      <c r="AN134" s="1"/>
      <c r="AO134" s="1"/>
      <c r="AP134" s="1"/>
      <c r="AQ134" s="44"/>
      <c r="AR134" s="44"/>
      <c r="AS134" s="44"/>
      <c r="AT134" s="44"/>
      <c r="AU134" s="44"/>
      <c r="AV134" s="44"/>
      <c r="AW134" s="44"/>
      <c r="AX134" s="44"/>
    </row>
    <row r="135" spans="1:50" ht="0.95" customHeight="1">
      <c r="A135">
        <v>55</v>
      </c>
      <c r="B135" s="1">
        <f t="shared" si="0"/>
        <v>3300</v>
      </c>
      <c r="C135" s="4">
        <f t="shared" si="12"/>
        <v>0.91666666666666663</v>
      </c>
      <c r="D135" s="4">
        <f t="shared" si="10"/>
        <v>0.84027777777777768</v>
      </c>
      <c r="E135" s="4">
        <f t="shared" si="11"/>
        <v>0.77025462962962954</v>
      </c>
      <c r="F135" s="4"/>
      <c r="G135" s="6">
        <v>55</v>
      </c>
      <c r="H135" s="1">
        <f t="shared" si="1"/>
        <v>458.33333333333331</v>
      </c>
      <c r="I135" s="1">
        <f t="shared" si="2"/>
        <v>687.5</v>
      </c>
      <c r="J135" s="1">
        <f t="shared" si="3"/>
        <v>916.66666666666663</v>
      </c>
      <c r="K135" s="1">
        <f t="shared" si="4"/>
        <v>1145.8333333333333</v>
      </c>
      <c r="L135" s="1">
        <f t="shared" si="5"/>
        <v>1375</v>
      </c>
      <c r="M135" s="1">
        <f t="shared" si="6"/>
        <v>1604.1666666666665</v>
      </c>
      <c r="N135" s="1">
        <f t="shared" si="7"/>
        <v>1833.3333333333333</v>
      </c>
      <c r="O135" s="1">
        <f t="shared" si="8"/>
        <v>2062.5</v>
      </c>
      <c r="P135" s="1">
        <f t="shared" si="9"/>
        <v>168.05555555555554</v>
      </c>
      <c r="Q135" s="1">
        <f t="shared" si="9"/>
        <v>163.85416666666666</v>
      </c>
      <c r="R135" s="1">
        <f t="shared" si="9"/>
        <v>157.13194444444443</v>
      </c>
      <c r="S135" s="1">
        <f t="shared" si="9"/>
        <v>149.56944444444443</v>
      </c>
      <c r="T135" s="1">
        <f t="shared" si="9"/>
        <v>138.64583333333331</v>
      </c>
      <c r="U135" s="1">
        <f t="shared" si="9"/>
        <v>124.3611111111111</v>
      </c>
      <c r="V135" s="1">
        <f t="shared" si="9"/>
        <v>105.03472222222221</v>
      </c>
      <c r="W135" s="1">
        <f t="shared" si="9"/>
        <v>84.027777777777771</v>
      </c>
      <c r="X135" s="1"/>
      <c r="Y135" s="8">
        <f t="shared" ref="Y135:AF135" si="15">(H135*P135)/(3960*P20)</f>
        <v>32.418124142661171</v>
      </c>
      <c r="Z135" s="8">
        <f t="shared" si="15"/>
        <v>39.509588798868315</v>
      </c>
      <c r="AA135" s="8">
        <f t="shared" si="15"/>
        <v>45.466419110082299</v>
      </c>
      <c r="AB135" s="8">
        <f t="shared" si="15"/>
        <v>51.521661583872216</v>
      </c>
      <c r="AC135" s="8">
        <f t="shared" si="15"/>
        <v>55.977807385874243</v>
      </c>
      <c r="AD135" s="8">
        <f t="shared" si="15"/>
        <v>58.578796415924963</v>
      </c>
      <c r="AE135" s="8">
        <f t="shared" si="15"/>
        <v>58.586971342158755</v>
      </c>
      <c r="AF135" s="8">
        <f t="shared" si="15"/>
        <v>59.141172422422414</v>
      </c>
      <c r="AH135" s="41">
        <f t="shared" ref="AH135:AO135" si="16">(((Y135*0.746)/$Q26)/60)*(1000/H135)</f>
        <v>0.97712810547172668</v>
      </c>
      <c r="AI135" s="41">
        <f t="shared" si="16"/>
        <v>0.79391658569577817</v>
      </c>
      <c r="AJ135" s="41">
        <f t="shared" si="16"/>
        <v>0.68521108396204844</v>
      </c>
      <c r="AK135" s="41">
        <f t="shared" si="16"/>
        <v>0.62117429562131188</v>
      </c>
      <c r="AL135" s="41">
        <f t="shared" si="16"/>
        <v>0.56241675838198235</v>
      </c>
      <c r="AM135" s="41">
        <f t="shared" si="16"/>
        <v>0.50447078933656597</v>
      </c>
      <c r="AN135" s="41">
        <f t="shared" si="16"/>
        <v>0.44147354162879227</v>
      </c>
      <c r="AO135" s="41">
        <f t="shared" si="16"/>
        <v>0.39613301573178106</v>
      </c>
      <c r="AP135" s="1"/>
      <c r="AQ135" s="44">
        <f t="shared" ref="AQ135:AX135" si="17">AH135*$W26</f>
        <v>9.7712810547172679E-2</v>
      </c>
      <c r="AR135" s="44">
        <f t="shared" si="17"/>
        <v>7.9391658569577819E-2</v>
      </c>
      <c r="AS135" s="44">
        <f t="shared" si="17"/>
        <v>6.8521108396204844E-2</v>
      </c>
      <c r="AT135" s="44">
        <f t="shared" si="17"/>
        <v>6.2117429562131191E-2</v>
      </c>
      <c r="AU135" s="44">
        <f t="shared" si="17"/>
        <v>5.6241675838198238E-2</v>
      </c>
      <c r="AV135" s="44">
        <f t="shared" si="17"/>
        <v>5.0447078933656603E-2</v>
      </c>
      <c r="AW135" s="44">
        <f t="shared" si="17"/>
        <v>4.4147354162879231E-2</v>
      </c>
      <c r="AX135" s="44">
        <f t="shared" si="17"/>
        <v>3.9613301573178106E-2</v>
      </c>
    </row>
    <row r="136" spans="1:50" ht="0.95" customHeight="1">
      <c r="A136">
        <v>54</v>
      </c>
      <c r="B136" s="1">
        <f t="shared" si="0"/>
        <v>3240</v>
      </c>
      <c r="C136" s="4">
        <f t="shared" si="12"/>
        <v>0.9</v>
      </c>
      <c r="D136" s="4">
        <f t="shared" si="10"/>
        <v>0.81</v>
      </c>
      <c r="E136" s="4">
        <f t="shared" si="11"/>
        <v>0.72900000000000009</v>
      </c>
      <c r="F136" s="4"/>
      <c r="G136" s="6">
        <v>54</v>
      </c>
      <c r="H136" s="1">
        <f t="shared" si="1"/>
        <v>450</v>
      </c>
      <c r="I136" s="1">
        <f t="shared" si="2"/>
        <v>675</v>
      </c>
      <c r="J136" s="1">
        <f t="shared" si="3"/>
        <v>900</v>
      </c>
      <c r="K136" s="1">
        <f t="shared" si="4"/>
        <v>1125</v>
      </c>
      <c r="L136" s="1">
        <f t="shared" si="5"/>
        <v>1350</v>
      </c>
      <c r="M136" s="1">
        <f t="shared" si="6"/>
        <v>1575</v>
      </c>
      <c r="N136" s="1">
        <f t="shared" si="7"/>
        <v>1800</v>
      </c>
      <c r="O136" s="1">
        <f t="shared" si="8"/>
        <v>2025</v>
      </c>
      <c r="P136" s="1">
        <f t="shared" si="9"/>
        <v>162</v>
      </c>
      <c r="Q136" s="1">
        <f t="shared" si="9"/>
        <v>157.95000000000002</v>
      </c>
      <c r="R136" s="1">
        <f t="shared" si="9"/>
        <v>151.47</v>
      </c>
      <c r="S136" s="1">
        <f t="shared" si="9"/>
        <v>144.18</v>
      </c>
      <c r="T136" s="1">
        <f t="shared" si="9"/>
        <v>133.65</v>
      </c>
      <c r="U136" s="1">
        <f t="shared" si="9"/>
        <v>119.88000000000001</v>
      </c>
      <c r="V136" s="1">
        <f t="shared" si="9"/>
        <v>101.25</v>
      </c>
      <c r="W136" s="1">
        <f t="shared" si="9"/>
        <v>81</v>
      </c>
      <c r="X136" s="1"/>
      <c r="Y136" s="7"/>
      <c r="Z136" s="1"/>
      <c r="AA136" s="1"/>
      <c r="AB136" s="1"/>
      <c r="AC136" s="1"/>
      <c r="AD136" s="1"/>
      <c r="AE136" s="1"/>
      <c r="AF136" s="1"/>
      <c r="AH136" s="31"/>
      <c r="AI136" s="31"/>
      <c r="AJ136" s="31"/>
      <c r="AK136" s="31"/>
      <c r="AL136" s="31"/>
      <c r="AM136" s="31"/>
      <c r="AN136" s="31"/>
      <c r="AO136" s="31"/>
      <c r="AP136" s="1"/>
      <c r="AQ136" s="44"/>
      <c r="AR136" s="44"/>
      <c r="AS136" s="44"/>
      <c r="AT136" s="44"/>
      <c r="AU136" s="44"/>
      <c r="AV136" s="44"/>
      <c r="AW136" s="44"/>
      <c r="AX136" s="44"/>
    </row>
    <row r="137" spans="1:50" ht="0.95" customHeight="1">
      <c r="A137">
        <v>53</v>
      </c>
      <c r="B137" s="1">
        <f t="shared" si="0"/>
        <v>3180</v>
      </c>
      <c r="C137" s="4">
        <f t="shared" si="12"/>
        <v>0.8833333333333333</v>
      </c>
      <c r="D137" s="4">
        <f t="shared" si="10"/>
        <v>0.78027777777777774</v>
      </c>
      <c r="E137" s="4">
        <f t="shared" si="11"/>
        <v>0.68924537037037026</v>
      </c>
      <c r="F137" s="4"/>
      <c r="G137" s="6">
        <v>53</v>
      </c>
      <c r="H137" s="1">
        <f t="shared" si="1"/>
        <v>441.66666666666663</v>
      </c>
      <c r="I137" s="1">
        <f t="shared" si="2"/>
        <v>662.5</v>
      </c>
      <c r="J137" s="1">
        <f t="shared" si="3"/>
        <v>883.33333333333326</v>
      </c>
      <c r="K137" s="1">
        <f t="shared" si="4"/>
        <v>1104.1666666666667</v>
      </c>
      <c r="L137" s="1">
        <f t="shared" si="5"/>
        <v>1325</v>
      </c>
      <c r="M137" s="1">
        <f t="shared" si="6"/>
        <v>1545.8333333333333</v>
      </c>
      <c r="N137" s="1">
        <f t="shared" si="7"/>
        <v>1766.6666666666665</v>
      </c>
      <c r="O137" s="1">
        <f t="shared" si="8"/>
        <v>1987.5</v>
      </c>
      <c r="P137" s="1">
        <f t="shared" si="9"/>
        <v>156.05555555555554</v>
      </c>
      <c r="Q137" s="1">
        <f t="shared" si="9"/>
        <v>152.15416666666667</v>
      </c>
      <c r="R137" s="1">
        <f t="shared" si="9"/>
        <v>145.91194444444443</v>
      </c>
      <c r="S137" s="1">
        <f t="shared" si="9"/>
        <v>138.88944444444445</v>
      </c>
      <c r="T137" s="1">
        <f t="shared" si="9"/>
        <v>128.74583333333334</v>
      </c>
      <c r="U137" s="1">
        <f t="shared" si="9"/>
        <v>115.4811111111111</v>
      </c>
      <c r="V137" s="1">
        <f t="shared" si="9"/>
        <v>97.534722222222214</v>
      </c>
      <c r="W137" s="1">
        <f t="shared" si="9"/>
        <v>78.027777777777771</v>
      </c>
      <c r="X137" s="1"/>
      <c r="Y137" s="7"/>
      <c r="Z137" s="1"/>
      <c r="AA137" s="1"/>
      <c r="AB137" s="1"/>
      <c r="AC137" s="1"/>
      <c r="AD137" s="1"/>
      <c r="AE137" s="1"/>
      <c r="AF137" s="1"/>
      <c r="AH137" s="31"/>
      <c r="AI137" s="31"/>
      <c r="AJ137" s="31"/>
      <c r="AK137" s="31"/>
      <c r="AL137" s="31"/>
      <c r="AM137" s="31"/>
      <c r="AN137" s="31"/>
      <c r="AO137" s="31"/>
      <c r="AP137" s="1"/>
      <c r="AQ137" s="44"/>
      <c r="AR137" s="44"/>
      <c r="AS137" s="44"/>
      <c r="AT137" s="44"/>
      <c r="AU137" s="44"/>
      <c r="AV137" s="44"/>
      <c r="AW137" s="44"/>
      <c r="AX137" s="44"/>
    </row>
    <row r="138" spans="1:50" ht="0.95" customHeight="1">
      <c r="A138">
        <v>52</v>
      </c>
      <c r="B138" s="1">
        <f t="shared" si="0"/>
        <v>3120</v>
      </c>
      <c r="C138" s="4">
        <f t="shared" si="12"/>
        <v>0.8666666666666667</v>
      </c>
      <c r="D138" s="4">
        <f t="shared" si="10"/>
        <v>0.75111111111111117</v>
      </c>
      <c r="E138" s="4">
        <f t="shared" si="11"/>
        <v>0.65096296296296308</v>
      </c>
      <c r="F138" s="4"/>
      <c r="G138" s="6">
        <v>52</v>
      </c>
      <c r="H138" s="1">
        <f t="shared" si="1"/>
        <v>433.33333333333337</v>
      </c>
      <c r="I138" s="1">
        <f t="shared" si="2"/>
        <v>650</v>
      </c>
      <c r="J138" s="1">
        <f t="shared" si="3"/>
        <v>866.66666666666674</v>
      </c>
      <c r="K138" s="1">
        <f t="shared" si="4"/>
        <v>1083.3333333333333</v>
      </c>
      <c r="L138" s="1">
        <f t="shared" si="5"/>
        <v>1300</v>
      </c>
      <c r="M138" s="1">
        <f t="shared" si="6"/>
        <v>1516.6666666666667</v>
      </c>
      <c r="N138" s="1">
        <f t="shared" si="7"/>
        <v>1733.3333333333335</v>
      </c>
      <c r="O138" s="1">
        <f t="shared" si="8"/>
        <v>1950</v>
      </c>
      <c r="P138" s="1">
        <f t="shared" si="9"/>
        <v>150.22222222222223</v>
      </c>
      <c r="Q138" s="1">
        <f t="shared" si="9"/>
        <v>146.46666666666667</v>
      </c>
      <c r="R138" s="1">
        <f t="shared" si="9"/>
        <v>140.45777777777778</v>
      </c>
      <c r="S138" s="1">
        <f t="shared" si="9"/>
        <v>133.69777777777779</v>
      </c>
      <c r="T138" s="1">
        <f t="shared" si="9"/>
        <v>123.93333333333334</v>
      </c>
      <c r="U138" s="1">
        <f t="shared" si="9"/>
        <v>111.16444444444446</v>
      </c>
      <c r="V138" s="1">
        <f t="shared" si="9"/>
        <v>93.8888888888889</v>
      </c>
      <c r="W138" s="1">
        <f t="shared" si="9"/>
        <v>75.111111111111114</v>
      </c>
      <c r="X138" s="1"/>
      <c r="Y138" s="7"/>
      <c r="Z138" s="1"/>
      <c r="AA138" s="1"/>
      <c r="AB138" s="1"/>
      <c r="AC138" s="1"/>
      <c r="AD138" s="1"/>
      <c r="AE138" s="1"/>
      <c r="AF138" s="1"/>
      <c r="AH138" s="31"/>
      <c r="AI138" s="31"/>
      <c r="AJ138" s="31"/>
      <c r="AK138" s="31"/>
      <c r="AL138" s="31"/>
      <c r="AM138" s="31"/>
      <c r="AN138" s="31"/>
      <c r="AO138" s="31"/>
      <c r="AP138" s="1"/>
      <c r="AQ138" s="44"/>
      <c r="AR138" s="44"/>
      <c r="AS138" s="44"/>
      <c r="AT138" s="44"/>
      <c r="AU138" s="44"/>
      <c r="AV138" s="44"/>
      <c r="AW138" s="44"/>
      <c r="AX138" s="44"/>
    </row>
    <row r="139" spans="1:50" ht="0.95" customHeight="1">
      <c r="A139">
        <v>51</v>
      </c>
      <c r="B139" s="1">
        <f t="shared" si="0"/>
        <v>3060</v>
      </c>
      <c r="C139" s="4">
        <f t="shared" si="12"/>
        <v>0.85</v>
      </c>
      <c r="D139" s="4">
        <f t="shared" si="10"/>
        <v>0.72249999999999992</v>
      </c>
      <c r="E139" s="4">
        <f t="shared" si="11"/>
        <v>0.61412499999999992</v>
      </c>
      <c r="F139" s="4"/>
      <c r="G139" s="6">
        <v>51</v>
      </c>
      <c r="H139" s="1">
        <f t="shared" si="1"/>
        <v>425</v>
      </c>
      <c r="I139" s="1">
        <f t="shared" si="2"/>
        <v>637.5</v>
      </c>
      <c r="J139" s="1">
        <f t="shared" si="3"/>
        <v>850</v>
      </c>
      <c r="K139" s="1">
        <f t="shared" si="4"/>
        <v>1062.5</v>
      </c>
      <c r="L139" s="1">
        <f t="shared" si="5"/>
        <v>1275</v>
      </c>
      <c r="M139" s="1">
        <f t="shared" si="6"/>
        <v>1487.5</v>
      </c>
      <c r="N139" s="1">
        <f t="shared" si="7"/>
        <v>1700</v>
      </c>
      <c r="O139" s="1">
        <f t="shared" si="8"/>
        <v>1912.5</v>
      </c>
      <c r="P139" s="1">
        <f t="shared" si="9"/>
        <v>144.49999999999997</v>
      </c>
      <c r="Q139" s="1">
        <f t="shared" si="9"/>
        <v>140.88749999999999</v>
      </c>
      <c r="R139" s="1">
        <f t="shared" si="9"/>
        <v>135.10749999999999</v>
      </c>
      <c r="S139" s="1">
        <f t="shared" si="9"/>
        <v>128.60499999999999</v>
      </c>
      <c r="T139" s="1">
        <f t="shared" si="9"/>
        <v>119.21249999999999</v>
      </c>
      <c r="U139" s="1">
        <f t="shared" si="9"/>
        <v>106.92999999999999</v>
      </c>
      <c r="V139" s="1">
        <f t="shared" si="9"/>
        <v>90.312499999999986</v>
      </c>
      <c r="W139" s="1">
        <f t="shared" si="9"/>
        <v>72.249999999999986</v>
      </c>
      <c r="X139" s="1"/>
      <c r="Y139" s="7"/>
      <c r="Z139" s="1"/>
      <c r="AA139" s="1"/>
      <c r="AB139" s="1"/>
      <c r="AC139" s="1"/>
      <c r="AD139" s="1"/>
      <c r="AE139" s="1"/>
      <c r="AF139" s="1"/>
      <c r="AH139" s="31"/>
      <c r="AI139" s="31"/>
      <c r="AJ139" s="31"/>
      <c r="AK139" s="31"/>
      <c r="AL139" s="31"/>
      <c r="AM139" s="31"/>
      <c r="AN139" s="31"/>
      <c r="AO139" s="31"/>
      <c r="AP139" s="1"/>
      <c r="AQ139" s="44"/>
      <c r="AR139" s="44"/>
      <c r="AS139" s="44"/>
      <c r="AT139" s="44"/>
      <c r="AU139" s="44"/>
      <c r="AV139" s="44"/>
      <c r="AW139" s="44"/>
      <c r="AX139" s="44"/>
    </row>
    <row r="140" spans="1:50" ht="0.95" customHeight="1">
      <c r="A140">
        <v>50</v>
      </c>
      <c r="B140" s="1">
        <f t="shared" si="0"/>
        <v>3000</v>
      </c>
      <c r="C140" s="4">
        <f t="shared" si="12"/>
        <v>0.83333333333333337</v>
      </c>
      <c r="D140" s="4">
        <f t="shared" si="10"/>
        <v>0.69444444444444453</v>
      </c>
      <c r="E140" s="4">
        <f t="shared" si="11"/>
        <v>0.57870370370370383</v>
      </c>
      <c r="F140" s="4"/>
      <c r="G140" s="6">
        <v>50</v>
      </c>
      <c r="H140" s="1">
        <f t="shared" si="1"/>
        <v>416.66666666666669</v>
      </c>
      <c r="I140" s="1">
        <f t="shared" si="2"/>
        <v>625</v>
      </c>
      <c r="J140" s="1">
        <f t="shared" si="3"/>
        <v>833.33333333333337</v>
      </c>
      <c r="K140" s="1">
        <f t="shared" si="4"/>
        <v>1041.6666666666667</v>
      </c>
      <c r="L140" s="1">
        <f t="shared" si="5"/>
        <v>1250</v>
      </c>
      <c r="M140" s="1">
        <f t="shared" si="6"/>
        <v>1458.3333333333335</v>
      </c>
      <c r="N140" s="1">
        <f t="shared" si="7"/>
        <v>1666.6666666666667</v>
      </c>
      <c r="O140" s="1">
        <f t="shared" si="8"/>
        <v>1875</v>
      </c>
      <c r="P140" s="1">
        <f t="shared" si="9"/>
        <v>138.88888888888891</v>
      </c>
      <c r="Q140" s="1">
        <f t="shared" si="9"/>
        <v>135.41666666666669</v>
      </c>
      <c r="R140" s="1">
        <f t="shared" si="9"/>
        <v>129.86111111111111</v>
      </c>
      <c r="S140" s="1">
        <f t="shared" si="9"/>
        <v>123.61111111111113</v>
      </c>
      <c r="T140" s="1">
        <f t="shared" si="9"/>
        <v>114.58333333333334</v>
      </c>
      <c r="U140" s="1">
        <f t="shared" si="9"/>
        <v>102.77777777777779</v>
      </c>
      <c r="V140" s="1">
        <f t="shared" si="9"/>
        <v>86.805555555555571</v>
      </c>
      <c r="W140" s="1">
        <f t="shared" si="9"/>
        <v>69.444444444444457</v>
      </c>
      <c r="X140" s="1"/>
      <c r="Y140" s="8">
        <f t="shared" ref="Y140:AF140" si="18">(H140*P140)/(3960*P20)</f>
        <v>24.356216485846122</v>
      </c>
      <c r="Z140" s="8">
        <f t="shared" si="18"/>
        <v>29.684138842124955</v>
      </c>
      <c r="AA140" s="8">
        <f t="shared" si="18"/>
        <v>34.159593621399182</v>
      </c>
      <c r="AB140" s="8">
        <f t="shared" si="18"/>
        <v>38.70898691500544</v>
      </c>
      <c r="AC140" s="8">
        <f t="shared" si="18"/>
        <v>42.056955211024984</v>
      </c>
      <c r="AD140" s="8">
        <f t="shared" si="18"/>
        <v>44.011116766284736</v>
      </c>
      <c r="AE140" s="8">
        <f t="shared" si="18"/>
        <v>44.017258709360462</v>
      </c>
      <c r="AF140" s="8">
        <f t="shared" si="18"/>
        <v>44.433638183638188</v>
      </c>
      <c r="AH140" s="41">
        <f t="shared" ref="AH140:AO140" si="19">(((Y140*0.746)/$Q26)/60)*(1000/H140)</f>
        <v>0.80754388881960915</v>
      </c>
      <c r="AI140" s="41">
        <f t="shared" si="19"/>
        <v>0.65612940966593236</v>
      </c>
      <c r="AJ140" s="41">
        <f t="shared" si="19"/>
        <v>0.56629015203475086</v>
      </c>
      <c r="AK140" s="41">
        <f t="shared" si="19"/>
        <v>0.51336718646389434</v>
      </c>
      <c r="AL140" s="41">
        <f t="shared" si="19"/>
        <v>0.46480723833221688</v>
      </c>
      <c r="AM140" s="41">
        <f t="shared" si="19"/>
        <v>0.41691800771617027</v>
      </c>
      <c r="AN140" s="41">
        <f t="shared" si="19"/>
        <v>0.36485416663536557</v>
      </c>
      <c r="AO140" s="41">
        <f t="shared" si="19"/>
        <v>0.32738265762957125</v>
      </c>
      <c r="AP140" s="1"/>
      <c r="AQ140" s="44">
        <f t="shared" ref="AQ140:AX140" si="20">AH140*$W26</f>
        <v>8.0754388881960917E-2</v>
      </c>
      <c r="AR140" s="44">
        <f t="shared" si="20"/>
        <v>6.5612940966593244E-2</v>
      </c>
      <c r="AS140" s="44">
        <f t="shared" si="20"/>
        <v>5.6629015203475089E-2</v>
      </c>
      <c r="AT140" s="44">
        <f t="shared" si="20"/>
        <v>5.1336718646389438E-2</v>
      </c>
      <c r="AU140" s="44">
        <f t="shared" si="20"/>
        <v>4.6480723833221688E-2</v>
      </c>
      <c r="AV140" s="44">
        <f t="shared" si="20"/>
        <v>4.1691800771617028E-2</v>
      </c>
      <c r="AW140" s="44">
        <f t="shared" si="20"/>
        <v>3.6485416663536559E-2</v>
      </c>
      <c r="AX140" s="44">
        <f t="shared" si="20"/>
        <v>3.2738265762957124E-2</v>
      </c>
    </row>
    <row r="141" spans="1:50" ht="0.95" customHeight="1">
      <c r="A141">
        <v>49</v>
      </c>
      <c r="B141" s="1">
        <f t="shared" si="0"/>
        <v>2940</v>
      </c>
      <c r="C141" s="4">
        <f t="shared" si="12"/>
        <v>0.81666666666666665</v>
      </c>
      <c r="D141" s="4">
        <f t="shared" si="10"/>
        <v>0.66694444444444445</v>
      </c>
      <c r="E141" s="4">
        <f t="shared" si="11"/>
        <v>0.54467129629629629</v>
      </c>
      <c r="F141" s="4"/>
      <c r="G141" s="6">
        <v>49</v>
      </c>
      <c r="H141" s="1">
        <f t="shared" si="1"/>
        <v>408.33333333333331</v>
      </c>
      <c r="I141" s="1">
        <f t="shared" si="2"/>
        <v>612.5</v>
      </c>
      <c r="J141" s="1">
        <f t="shared" si="3"/>
        <v>816.66666666666663</v>
      </c>
      <c r="K141" s="1">
        <f t="shared" si="4"/>
        <v>1020.8333333333334</v>
      </c>
      <c r="L141" s="1">
        <f t="shared" si="5"/>
        <v>1225</v>
      </c>
      <c r="M141" s="1">
        <f t="shared" si="6"/>
        <v>1429.1666666666667</v>
      </c>
      <c r="N141" s="1">
        <f t="shared" si="7"/>
        <v>1633.3333333333333</v>
      </c>
      <c r="O141" s="1">
        <f t="shared" si="8"/>
        <v>1837.5</v>
      </c>
      <c r="P141" s="1">
        <f t="shared" ref="P141:W150" si="21">P$17*$D141</f>
        <v>133.38888888888889</v>
      </c>
      <c r="Q141" s="1">
        <f t="shared" si="21"/>
        <v>130.05416666666667</v>
      </c>
      <c r="R141" s="1">
        <f t="shared" si="21"/>
        <v>124.71861111111112</v>
      </c>
      <c r="S141" s="1">
        <f t="shared" si="21"/>
        <v>118.71611111111112</v>
      </c>
      <c r="T141" s="1">
        <f t="shared" si="21"/>
        <v>110.04583333333333</v>
      </c>
      <c r="U141" s="1">
        <f t="shared" si="21"/>
        <v>98.707777777777778</v>
      </c>
      <c r="V141" s="1">
        <f t="shared" si="21"/>
        <v>83.368055555555557</v>
      </c>
      <c r="W141" s="1">
        <f t="shared" si="21"/>
        <v>66.694444444444443</v>
      </c>
      <c r="X141" s="1"/>
      <c r="Y141" s="7"/>
      <c r="Z141" s="1"/>
      <c r="AA141" s="1"/>
      <c r="AB141" s="1"/>
      <c r="AC141" s="1"/>
      <c r="AD141" s="1"/>
      <c r="AE141" s="1"/>
      <c r="AF141" s="1"/>
      <c r="AH141" s="31"/>
      <c r="AI141" s="31"/>
      <c r="AJ141" s="31"/>
      <c r="AK141" s="31"/>
      <c r="AL141" s="31"/>
      <c r="AM141" s="31"/>
      <c r="AN141" s="31"/>
      <c r="AO141" s="31"/>
      <c r="AP141" s="1"/>
      <c r="AQ141" s="44"/>
      <c r="AR141" s="44"/>
      <c r="AS141" s="44"/>
      <c r="AT141" s="44"/>
      <c r="AU141" s="44"/>
      <c r="AV141" s="44"/>
      <c r="AW141" s="44"/>
      <c r="AX141" s="44"/>
    </row>
    <row r="142" spans="1:50" ht="0.95" customHeight="1">
      <c r="A142">
        <v>48</v>
      </c>
      <c r="B142" s="1">
        <f t="shared" si="0"/>
        <v>2880</v>
      </c>
      <c r="C142" s="4">
        <f t="shared" si="12"/>
        <v>0.8</v>
      </c>
      <c r="D142" s="4">
        <f t="shared" si="10"/>
        <v>0.64000000000000012</v>
      </c>
      <c r="E142" s="4">
        <f t="shared" si="11"/>
        <v>0.51200000000000012</v>
      </c>
      <c r="F142" s="4"/>
      <c r="G142" s="6">
        <v>48</v>
      </c>
      <c r="H142" s="1">
        <f t="shared" si="1"/>
        <v>400</v>
      </c>
      <c r="I142" s="1">
        <f t="shared" si="2"/>
        <v>600</v>
      </c>
      <c r="J142" s="1">
        <f t="shared" si="3"/>
        <v>800</v>
      </c>
      <c r="K142" s="1">
        <f t="shared" si="4"/>
        <v>1000</v>
      </c>
      <c r="L142" s="1">
        <f t="shared" si="5"/>
        <v>1200</v>
      </c>
      <c r="M142" s="1">
        <f t="shared" si="6"/>
        <v>1400</v>
      </c>
      <c r="N142" s="1">
        <f t="shared" si="7"/>
        <v>1600</v>
      </c>
      <c r="O142" s="1">
        <f t="shared" si="8"/>
        <v>1800</v>
      </c>
      <c r="P142" s="1">
        <f t="shared" si="21"/>
        <v>128.00000000000003</v>
      </c>
      <c r="Q142" s="1">
        <f t="shared" si="21"/>
        <v>124.80000000000003</v>
      </c>
      <c r="R142" s="1">
        <f t="shared" si="21"/>
        <v>119.68000000000002</v>
      </c>
      <c r="S142" s="1">
        <f t="shared" si="21"/>
        <v>113.92000000000002</v>
      </c>
      <c r="T142" s="1">
        <f t="shared" si="21"/>
        <v>105.60000000000002</v>
      </c>
      <c r="U142" s="1">
        <f t="shared" si="21"/>
        <v>94.720000000000013</v>
      </c>
      <c r="V142" s="1">
        <f t="shared" si="21"/>
        <v>80.000000000000014</v>
      </c>
      <c r="W142" s="1">
        <f t="shared" si="21"/>
        <v>64.000000000000014</v>
      </c>
      <c r="X142" s="1"/>
      <c r="Y142" s="7"/>
      <c r="Z142" s="1"/>
      <c r="AA142" s="1"/>
      <c r="AB142" s="1"/>
      <c r="AC142" s="1"/>
      <c r="AD142" s="1"/>
      <c r="AE142" s="1"/>
      <c r="AF142" s="1"/>
      <c r="AH142" s="31"/>
      <c r="AI142" s="31"/>
      <c r="AJ142" s="31"/>
      <c r="AK142" s="31"/>
      <c r="AL142" s="31"/>
      <c r="AM142" s="31"/>
      <c r="AN142" s="31"/>
      <c r="AO142" s="31"/>
      <c r="AP142" s="1"/>
      <c r="AQ142" s="44"/>
      <c r="AR142" s="44"/>
      <c r="AS142" s="44"/>
      <c r="AT142" s="44"/>
      <c r="AU142" s="44"/>
      <c r="AV142" s="44"/>
      <c r="AW142" s="44"/>
      <c r="AX142" s="44"/>
    </row>
    <row r="143" spans="1:50" ht="0.95" customHeight="1">
      <c r="A143">
        <v>47</v>
      </c>
      <c r="B143" s="1">
        <f t="shared" si="0"/>
        <v>2820</v>
      </c>
      <c r="C143" s="4">
        <f t="shared" si="12"/>
        <v>0.78333333333333333</v>
      </c>
      <c r="D143" s="4">
        <f t="shared" si="10"/>
        <v>0.61361111111111111</v>
      </c>
      <c r="E143" s="4">
        <f t="shared" si="11"/>
        <v>0.48066203703703703</v>
      </c>
      <c r="F143" s="4"/>
      <c r="G143" s="6">
        <v>47</v>
      </c>
      <c r="H143" s="1">
        <f t="shared" si="1"/>
        <v>391.66666666666669</v>
      </c>
      <c r="I143" s="1">
        <f t="shared" si="2"/>
        <v>587.5</v>
      </c>
      <c r="J143" s="1">
        <f t="shared" si="3"/>
        <v>783.33333333333337</v>
      </c>
      <c r="K143" s="1">
        <f t="shared" si="4"/>
        <v>979.16666666666663</v>
      </c>
      <c r="L143" s="1">
        <f t="shared" si="5"/>
        <v>1175</v>
      </c>
      <c r="M143" s="1">
        <f t="shared" si="6"/>
        <v>1370.8333333333333</v>
      </c>
      <c r="N143" s="1">
        <f t="shared" si="7"/>
        <v>1566.6666666666667</v>
      </c>
      <c r="O143" s="1">
        <f t="shared" si="8"/>
        <v>1762.5</v>
      </c>
      <c r="P143" s="1">
        <f t="shared" si="21"/>
        <v>122.72222222222223</v>
      </c>
      <c r="Q143" s="1">
        <f t="shared" si="21"/>
        <v>119.65416666666667</v>
      </c>
      <c r="R143" s="1">
        <f t="shared" si="21"/>
        <v>114.74527777777777</v>
      </c>
      <c r="S143" s="1">
        <f t="shared" si="21"/>
        <v>109.22277777777778</v>
      </c>
      <c r="T143" s="1">
        <f t="shared" si="21"/>
        <v>101.24583333333334</v>
      </c>
      <c r="U143" s="1">
        <f t="shared" si="21"/>
        <v>90.814444444444447</v>
      </c>
      <c r="V143" s="1">
        <f t="shared" si="21"/>
        <v>76.701388888888886</v>
      </c>
      <c r="W143" s="1">
        <f t="shared" si="21"/>
        <v>61.361111111111114</v>
      </c>
      <c r="X143" s="1"/>
      <c r="Y143" s="7"/>
      <c r="Z143" s="1"/>
      <c r="AA143" s="1"/>
      <c r="AB143" s="1"/>
      <c r="AC143" s="1"/>
      <c r="AD143" s="1"/>
      <c r="AE143" s="1"/>
      <c r="AF143" s="1"/>
      <c r="AH143" s="31"/>
      <c r="AI143" s="31"/>
      <c r="AJ143" s="31"/>
      <c r="AK143" s="31"/>
      <c r="AL143" s="31"/>
      <c r="AM143" s="31"/>
      <c r="AN143" s="31"/>
      <c r="AO143" s="31"/>
      <c r="AP143" s="1"/>
      <c r="AQ143" s="44"/>
      <c r="AR143" s="44"/>
      <c r="AS143" s="44"/>
      <c r="AT143" s="44"/>
      <c r="AU143" s="44"/>
      <c r="AV143" s="44"/>
      <c r="AW143" s="44"/>
      <c r="AX143" s="44"/>
    </row>
    <row r="144" spans="1:50" ht="0.95" customHeight="1">
      <c r="A144">
        <v>46</v>
      </c>
      <c r="B144" s="1">
        <f t="shared" si="0"/>
        <v>2760</v>
      </c>
      <c r="C144" s="4">
        <f t="shared" si="12"/>
        <v>0.76666666666666672</v>
      </c>
      <c r="D144" s="4">
        <f t="shared" si="10"/>
        <v>0.58777777777777784</v>
      </c>
      <c r="E144" s="4">
        <f t="shared" si="11"/>
        <v>0.45062962962962971</v>
      </c>
      <c r="F144" s="4"/>
      <c r="G144" s="6">
        <v>46</v>
      </c>
      <c r="H144" s="1">
        <f t="shared" si="1"/>
        <v>383.33333333333337</v>
      </c>
      <c r="I144" s="1">
        <f t="shared" si="2"/>
        <v>575</v>
      </c>
      <c r="J144" s="1">
        <f t="shared" si="3"/>
        <v>766.66666666666674</v>
      </c>
      <c r="K144" s="1">
        <f t="shared" si="4"/>
        <v>958.33333333333337</v>
      </c>
      <c r="L144" s="1">
        <f t="shared" si="5"/>
        <v>1150</v>
      </c>
      <c r="M144" s="1">
        <f t="shared" si="6"/>
        <v>1341.6666666666667</v>
      </c>
      <c r="N144" s="1">
        <f t="shared" si="7"/>
        <v>1533.3333333333335</v>
      </c>
      <c r="O144" s="1">
        <f t="shared" si="8"/>
        <v>1725.0000000000002</v>
      </c>
      <c r="P144" s="1">
        <f t="shared" si="21"/>
        <v>117.55555555555557</v>
      </c>
      <c r="Q144" s="1">
        <f t="shared" si="21"/>
        <v>114.61666666666667</v>
      </c>
      <c r="R144" s="1">
        <f t="shared" si="21"/>
        <v>109.91444444444446</v>
      </c>
      <c r="S144" s="1">
        <f t="shared" si="21"/>
        <v>104.62444444444445</v>
      </c>
      <c r="T144" s="1">
        <f t="shared" si="21"/>
        <v>96.983333333333348</v>
      </c>
      <c r="U144" s="1">
        <f t="shared" si="21"/>
        <v>86.991111111111124</v>
      </c>
      <c r="V144" s="1">
        <f t="shared" si="21"/>
        <v>73.472222222222229</v>
      </c>
      <c r="W144" s="1">
        <f t="shared" si="21"/>
        <v>58.777777777777786</v>
      </c>
      <c r="X144" s="1"/>
      <c r="Y144" s="7"/>
      <c r="Z144" s="1"/>
      <c r="AA144" s="1"/>
      <c r="AB144" s="1"/>
      <c r="AC144" s="1"/>
      <c r="AD144" s="1"/>
      <c r="AE144" s="1"/>
      <c r="AF144" s="1"/>
      <c r="AH144" s="31"/>
      <c r="AI144" s="31"/>
      <c r="AJ144" s="31"/>
      <c r="AK144" s="31"/>
      <c r="AL144" s="31"/>
      <c r="AM144" s="31"/>
      <c r="AN144" s="31"/>
      <c r="AO144" s="31"/>
      <c r="AP144" s="1"/>
      <c r="AQ144" s="44"/>
      <c r="AR144" s="44"/>
      <c r="AS144" s="44"/>
      <c r="AT144" s="44"/>
      <c r="AU144" s="44"/>
      <c r="AV144" s="44"/>
      <c r="AW144" s="44"/>
      <c r="AX144" s="44"/>
    </row>
    <row r="145" spans="1:50" ht="0.95" customHeight="1">
      <c r="A145">
        <v>45</v>
      </c>
      <c r="B145" s="1">
        <f t="shared" si="0"/>
        <v>2700</v>
      </c>
      <c r="C145" s="4">
        <f t="shared" si="12"/>
        <v>0.75</v>
      </c>
      <c r="D145" s="4">
        <f t="shared" si="10"/>
        <v>0.5625</v>
      </c>
      <c r="E145" s="4">
        <f t="shared" si="11"/>
        <v>0.421875</v>
      </c>
      <c r="F145" s="4"/>
      <c r="G145" s="6">
        <v>45</v>
      </c>
      <c r="H145" s="1">
        <f t="shared" si="1"/>
        <v>375</v>
      </c>
      <c r="I145" s="1">
        <f t="shared" si="2"/>
        <v>562.5</v>
      </c>
      <c r="J145" s="1">
        <f t="shared" si="3"/>
        <v>750</v>
      </c>
      <c r="K145" s="1">
        <f t="shared" si="4"/>
        <v>937.5</v>
      </c>
      <c r="L145" s="1">
        <f t="shared" si="5"/>
        <v>1125</v>
      </c>
      <c r="M145" s="1">
        <f t="shared" si="6"/>
        <v>1312.5</v>
      </c>
      <c r="N145" s="1">
        <f t="shared" si="7"/>
        <v>1500</v>
      </c>
      <c r="O145" s="1">
        <f t="shared" si="8"/>
        <v>1687.5</v>
      </c>
      <c r="P145" s="1">
        <f t="shared" si="21"/>
        <v>112.5</v>
      </c>
      <c r="Q145" s="1">
        <f t="shared" si="21"/>
        <v>109.6875</v>
      </c>
      <c r="R145" s="1">
        <f t="shared" si="21"/>
        <v>105.1875</v>
      </c>
      <c r="S145" s="1">
        <f t="shared" si="21"/>
        <v>100.125</v>
      </c>
      <c r="T145" s="1">
        <f t="shared" si="21"/>
        <v>92.8125</v>
      </c>
      <c r="U145" s="1">
        <f t="shared" si="21"/>
        <v>83.25</v>
      </c>
      <c r="V145" s="1">
        <f t="shared" si="21"/>
        <v>70.3125</v>
      </c>
      <c r="W145" s="1">
        <f t="shared" si="21"/>
        <v>56.25</v>
      </c>
      <c r="X145" s="1"/>
      <c r="Y145" s="8">
        <f t="shared" ref="Y145:AF145" si="22">(H145*P145)/(3960*P20)</f>
        <v>17.755681818181817</v>
      </c>
      <c r="Z145" s="8">
        <f t="shared" si="22"/>
        <v>21.639737215909093</v>
      </c>
      <c r="AA145" s="8">
        <f t="shared" si="22"/>
        <v>24.90234375</v>
      </c>
      <c r="AB145" s="8">
        <f t="shared" si="22"/>
        <v>28.218851461038959</v>
      </c>
      <c r="AC145" s="8">
        <f t="shared" si="22"/>
        <v>30.659520348837209</v>
      </c>
      <c r="AD145" s="8">
        <f t="shared" si="22"/>
        <v>32.084104122621568</v>
      </c>
      <c r="AE145" s="8">
        <f t="shared" si="22"/>
        <v>32.088581599123771</v>
      </c>
      <c r="AF145" s="8">
        <f t="shared" si="22"/>
        <v>32.392122235872236</v>
      </c>
      <c r="AH145" s="41">
        <f t="shared" ref="AH145:AO145" si="23">(((Y145*0.746)/$Q26)/60)*(1000/H145)</f>
        <v>0.65411054994388318</v>
      </c>
      <c r="AI145" s="41">
        <f t="shared" si="23"/>
        <v>0.53146482182940524</v>
      </c>
      <c r="AJ145" s="41">
        <f t="shared" si="23"/>
        <v>0.45869502314814814</v>
      </c>
      <c r="AK145" s="41">
        <f t="shared" si="23"/>
        <v>0.41582742103575432</v>
      </c>
      <c r="AL145" s="41">
        <f t="shared" si="23"/>
        <v>0.37649386304909555</v>
      </c>
      <c r="AM145" s="41">
        <f t="shared" si="23"/>
        <v>0.33770358625009783</v>
      </c>
      <c r="AN145" s="41">
        <f t="shared" si="23"/>
        <v>0.29553187497464606</v>
      </c>
      <c r="AO145" s="41">
        <f t="shared" si="23"/>
        <v>0.2651799526799527</v>
      </c>
      <c r="AP145" s="1"/>
      <c r="AQ145" s="44">
        <f t="shared" ref="AQ145:AX145" si="24">AH145*$W26</f>
        <v>6.5411054994388318E-2</v>
      </c>
      <c r="AR145" s="44">
        <f t="shared" si="24"/>
        <v>5.3146482182940526E-2</v>
      </c>
      <c r="AS145" s="44">
        <f t="shared" si="24"/>
        <v>4.586950231481482E-2</v>
      </c>
      <c r="AT145" s="44">
        <f t="shared" si="24"/>
        <v>4.1582742103575432E-2</v>
      </c>
      <c r="AU145" s="44">
        <f t="shared" si="24"/>
        <v>3.7649386304909556E-2</v>
      </c>
      <c r="AV145" s="44">
        <f t="shared" si="24"/>
        <v>3.3770358625009787E-2</v>
      </c>
      <c r="AW145" s="44">
        <f t="shared" si="24"/>
        <v>2.9553187497464606E-2</v>
      </c>
      <c r="AX145" s="44">
        <f t="shared" si="24"/>
        <v>2.6517995267995271E-2</v>
      </c>
    </row>
    <row r="146" spans="1:50" ht="0.95" customHeight="1">
      <c r="A146">
        <v>44</v>
      </c>
      <c r="B146" s="1">
        <f t="shared" si="0"/>
        <v>2640</v>
      </c>
      <c r="C146" s="4">
        <f t="shared" si="12"/>
        <v>0.73333333333333328</v>
      </c>
      <c r="D146" s="4">
        <f t="shared" si="10"/>
        <v>0.53777777777777769</v>
      </c>
      <c r="E146" s="4">
        <f t="shared" si="11"/>
        <v>0.39437037037037026</v>
      </c>
      <c r="F146" s="4"/>
      <c r="G146" s="6">
        <v>44</v>
      </c>
      <c r="H146" s="1">
        <f t="shared" si="1"/>
        <v>366.66666666666663</v>
      </c>
      <c r="I146" s="1">
        <f t="shared" si="2"/>
        <v>550</v>
      </c>
      <c r="J146" s="1">
        <f t="shared" si="3"/>
        <v>733.33333333333326</v>
      </c>
      <c r="K146" s="1">
        <f t="shared" si="4"/>
        <v>916.66666666666663</v>
      </c>
      <c r="L146" s="1">
        <f t="shared" si="5"/>
        <v>1100</v>
      </c>
      <c r="M146" s="1">
        <f t="shared" si="6"/>
        <v>1283.3333333333333</v>
      </c>
      <c r="N146" s="1">
        <f t="shared" si="7"/>
        <v>1466.6666666666665</v>
      </c>
      <c r="O146" s="1">
        <f t="shared" si="8"/>
        <v>1649.9999999999998</v>
      </c>
      <c r="P146" s="1">
        <f t="shared" si="21"/>
        <v>107.55555555555554</v>
      </c>
      <c r="Q146" s="1">
        <f t="shared" si="21"/>
        <v>104.86666666666665</v>
      </c>
      <c r="R146" s="1">
        <f t="shared" si="21"/>
        <v>100.56444444444443</v>
      </c>
      <c r="S146" s="1">
        <f t="shared" si="21"/>
        <v>95.72444444444443</v>
      </c>
      <c r="T146" s="1">
        <f t="shared" si="21"/>
        <v>88.73333333333332</v>
      </c>
      <c r="U146" s="1">
        <f t="shared" si="21"/>
        <v>79.591111111111104</v>
      </c>
      <c r="V146" s="1">
        <f t="shared" si="21"/>
        <v>67.222222222222214</v>
      </c>
      <c r="W146" s="1">
        <f t="shared" si="21"/>
        <v>53.777777777777771</v>
      </c>
      <c r="X146" s="1"/>
      <c r="Y146" s="7"/>
      <c r="Z146" s="1"/>
      <c r="AA146" s="1"/>
      <c r="AB146" s="1"/>
      <c r="AC146" s="1"/>
      <c r="AD146" s="1"/>
      <c r="AE146" s="1"/>
      <c r="AF146" s="1"/>
      <c r="AH146" s="31"/>
      <c r="AI146" s="31"/>
      <c r="AJ146" s="31"/>
      <c r="AK146" s="31"/>
      <c r="AL146" s="31"/>
      <c r="AM146" s="31"/>
      <c r="AN146" s="31"/>
      <c r="AO146" s="31"/>
      <c r="AP146" s="1"/>
      <c r="AQ146" s="44"/>
      <c r="AR146" s="44"/>
      <c r="AS146" s="44"/>
      <c r="AT146" s="44"/>
      <c r="AU146" s="44"/>
      <c r="AV146" s="44"/>
      <c r="AW146" s="44"/>
      <c r="AX146" s="44"/>
    </row>
    <row r="147" spans="1:50" ht="0.95" customHeight="1">
      <c r="A147">
        <v>43</v>
      </c>
      <c r="B147" s="1">
        <f t="shared" si="0"/>
        <v>2580</v>
      </c>
      <c r="C147" s="4">
        <f t="shared" si="12"/>
        <v>0.71666666666666667</v>
      </c>
      <c r="D147" s="4">
        <f t="shared" si="10"/>
        <v>0.51361111111111113</v>
      </c>
      <c r="E147" s="4">
        <f t="shared" si="11"/>
        <v>0.36808796296296298</v>
      </c>
      <c r="F147" s="4"/>
      <c r="G147" s="6">
        <v>43</v>
      </c>
      <c r="H147" s="1">
        <f t="shared" si="1"/>
        <v>358.33333333333331</v>
      </c>
      <c r="I147" s="1">
        <f t="shared" si="2"/>
        <v>537.5</v>
      </c>
      <c r="J147" s="1">
        <f t="shared" si="3"/>
        <v>716.66666666666663</v>
      </c>
      <c r="K147" s="1">
        <f t="shared" si="4"/>
        <v>895.83333333333337</v>
      </c>
      <c r="L147" s="1">
        <f t="shared" si="5"/>
        <v>1075</v>
      </c>
      <c r="M147" s="1">
        <f t="shared" si="6"/>
        <v>1254.1666666666667</v>
      </c>
      <c r="N147" s="1">
        <f t="shared" si="7"/>
        <v>1433.3333333333333</v>
      </c>
      <c r="O147" s="1">
        <f t="shared" si="8"/>
        <v>1612.5</v>
      </c>
      <c r="P147" s="1">
        <f t="shared" si="21"/>
        <v>102.72222222222223</v>
      </c>
      <c r="Q147" s="1">
        <f t="shared" si="21"/>
        <v>100.15416666666667</v>
      </c>
      <c r="R147" s="1">
        <f t="shared" si="21"/>
        <v>96.045277777777784</v>
      </c>
      <c r="S147" s="1">
        <f t="shared" si="21"/>
        <v>91.422777777777782</v>
      </c>
      <c r="T147" s="1">
        <f t="shared" si="21"/>
        <v>84.745833333333337</v>
      </c>
      <c r="U147" s="1">
        <f t="shared" si="21"/>
        <v>76.01444444444445</v>
      </c>
      <c r="V147" s="1">
        <f t="shared" si="21"/>
        <v>64.201388888888886</v>
      </c>
      <c r="W147" s="1">
        <f t="shared" si="21"/>
        <v>51.361111111111114</v>
      </c>
      <c r="X147" s="1"/>
      <c r="Y147" s="7"/>
      <c r="Z147" s="1"/>
      <c r="AA147" s="1"/>
      <c r="AB147" s="1"/>
      <c r="AC147" s="1"/>
      <c r="AD147" s="1"/>
      <c r="AE147" s="1"/>
      <c r="AF147" s="1"/>
      <c r="AH147" s="31"/>
      <c r="AI147" s="31"/>
      <c r="AJ147" s="31"/>
      <c r="AK147" s="31"/>
      <c r="AL147" s="31"/>
      <c r="AM147" s="31"/>
      <c r="AN147" s="31"/>
      <c r="AO147" s="31"/>
      <c r="AP147" s="1"/>
      <c r="AQ147" s="44"/>
      <c r="AR147" s="44"/>
      <c r="AS147" s="44"/>
      <c r="AT147" s="44"/>
      <c r="AU147" s="44"/>
      <c r="AV147" s="44"/>
      <c r="AW147" s="44"/>
      <c r="AX147" s="44"/>
    </row>
    <row r="148" spans="1:50" ht="0.95" customHeight="1">
      <c r="A148">
        <v>42</v>
      </c>
      <c r="B148" s="1">
        <f t="shared" si="0"/>
        <v>2520</v>
      </c>
      <c r="C148" s="4">
        <f t="shared" si="12"/>
        <v>0.7</v>
      </c>
      <c r="D148" s="4">
        <f t="shared" si="10"/>
        <v>0.48999999999999994</v>
      </c>
      <c r="E148" s="4">
        <f t="shared" si="11"/>
        <v>0.34299999999999992</v>
      </c>
      <c r="F148" s="4"/>
      <c r="G148" s="6">
        <v>42</v>
      </c>
      <c r="H148" s="1">
        <f t="shared" si="1"/>
        <v>350</v>
      </c>
      <c r="I148" s="1">
        <f t="shared" si="2"/>
        <v>525</v>
      </c>
      <c r="J148" s="1">
        <f t="shared" si="3"/>
        <v>700</v>
      </c>
      <c r="K148" s="1">
        <f t="shared" si="4"/>
        <v>875</v>
      </c>
      <c r="L148" s="1">
        <f t="shared" si="5"/>
        <v>1050</v>
      </c>
      <c r="M148" s="1">
        <f t="shared" si="6"/>
        <v>1225</v>
      </c>
      <c r="N148" s="1">
        <f t="shared" si="7"/>
        <v>1400</v>
      </c>
      <c r="O148" s="1">
        <f t="shared" si="8"/>
        <v>1575</v>
      </c>
      <c r="P148" s="1">
        <f t="shared" si="21"/>
        <v>97.999999999999986</v>
      </c>
      <c r="Q148" s="1">
        <f t="shared" si="21"/>
        <v>95.549999999999983</v>
      </c>
      <c r="R148" s="1">
        <f t="shared" si="21"/>
        <v>91.629999999999981</v>
      </c>
      <c r="S148" s="1">
        <f t="shared" si="21"/>
        <v>87.219999999999985</v>
      </c>
      <c r="T148" s="1">
        <f t="shared" si="21"/>
        <v>80.849999999999994</v>
      </c>
      <c r="U148" s="1">
        <f t="shared" si="21"/>
        <v>72.52</v>
      </c>
      <c r="V148" s="1">
        <f t="shared" si="21"/>
        <v>61.249999999999993</v>
      </c>
      <c r="W148" s="1">
        <f t="shared" si="21"/>
        <v>48.999999999999993</v>
      </c>
      <c r="X148" s="1"/>
      <c r="Y148" s="7"/>
      <c r="Z148" s="1"/>
      <c r="AA148" s="1"/>
      <c r="AB148" s="1"/>
      <c r="AC148" s="1"/>
      <c r="AD148" s="1"/>
      <c r="AE148" s="1"/>
      <c r="AF148" s="1"/>
      <c r="AH148" s="31"/>
      <c r="AI148" s="31"/>
      <c r="AJ148" s="31"/>
      <c r="AK148" s="31"/>
      <c r="AL148" s="31"/>
      <c r="AM148" s="31"/>
      <c r="AN148" s="31"/>
      <c r="AO148" s="31"/>
      <c r="AP148" s="1"/>
      <c r="AQ148" s="44"/>
      <c r="AR148" s="44"/>
      <c r="AS148" s="44"/>
      <c r="AT148" s="44"/>
      <c r="AU148" s="44"/>
      <c r="AV148" s="44"/>
      <c r="AW148" s="44"/>
      <c r="AX148" s="44"/>
    </row>
    <row r="149" spans="1:50" ht="0.95" customHeight="1">
      <c r="A149">
        <v>41</v>
      </c>
      <c r="B149" s="1">
        <f t="shared" si="0"/>
        <v>2460</v>
      </c>
      <c r="C149" s="4">
        <f t="shared" si="12"/>
        <v>0.68333333333333335</v>
      </c>
      <c r="D149" s="4">
        <f t="shared" si="10"/>
        <v>0.46694444444444444</v>
      </c>
      <c r="E149" s="4">
        <f t="shared" si="11"/>
        <v>0.31907870370370373</v>
      </c>
      <c r="F149" s="4"/>
      <c r="G149" s="6">
        <v>41</v>
      </c>
      <c r="H149" s="1">
        <f t="shared" si="1"/>
        <v>341.66666666666669</v>
      </c>
      <c r="I149" s="1">
        <f t="shared" si="2"/>
        <v>512.5</v>
      </c>
      <c r="J149" s="1">
        <f t="shared" si="3"/>
        <v>683.33333333333337</v>
      </c>
      <c r="K149" s="1">
        <f t="shared" si="4"/>
        <v>854.16666666666663</v>
      </c>
      <c r="L149" s="1">
        <f t="shared" si="5"/>
        <v>1025</v>
      </c>
      <c r="M149" s="1">
        <f t="shared" si="6"/>
        <v>1195.8333333333333</v>
      </c>
      <c r="N149" s="1">
        <f t="shared" si="7"/>
        <v>1366.6666666666667</v>
      </c>
      <c r="O149" s="1">
        <f t="shared" si="8"/>
        <v>1537.5</v>
      </c>
      <c r="P149" s="1">
        <f t="shared" si="21"/>
        <v>93.388888888888886</v>
      </c>
      <c r="Q149" s="1">
        <f t="shared" si="21"/>
        <v>91.05416666666666</v>
      </c>
      <c r="R149" s="1">
        <f t="shared" si="21"/>
        <v>87.31861111111111</v>
      </c>
      <c r="S149" s="1">
        <f t="shared" si="21"/>
        <v>83.11611111111111</v>
      </c>
      <c r="T149" s="1">
        <f t="shared" si="21"/>
        <v>77.045833333333334</v>
      </c>
      <c r="U149" s="1">
        <f t="shared" si="21"/>
        <v>69.107777777777784</v>
      </c>
      <c r="V149" s="1">
        <f t="shared" si="21"/>
        <v>58.368055555555557</v>
      </c>
      <c r="W149" s="1">
        <f t="shared" si="21"/>
        <v>46.694444444444443</v>
      </c>
      <c r="X149" s="1"/>
      <c r="Y149" s="7"/>
      <c r="Z149" s="1"/>
      <c r="AA149" s="1"/>
      <c r="AB149" s="1"/>
      <c r="AC149" s="1"/>
      <c r="AD149" s="1"/>
      <c r="AE149" s="1"/>
      <c r="AF149" s="1"/>
      <c r="AH149" s="31"/>
      <c r="AI149" s="31"/>
      <c r="AJ149" s="31"/>
      <c r="AK149" s="31"/>
      <c r="AL149" s="31"/>
      <c r="AM149" s="31"/>
      <c r="AN149" s="31"/>
      <c r="AO149" s="31"/>
      <c r="AP149" s="1"/>
      <c r="AQ149" s="44"/>
      <c r="AR149" s="44"/>
      <c r="AS149" s="44"/>
      <c r="AT149" s="44"/>
      <c r="AU149" s="44"/>
      <c r="AV149" s="44"/>
      <c r="AW149" s="44"/>
      <c r="AX149" s="44"/>
    </row>
    <row r="150" spans="1:50" ht="0.95" customHeight="1">
      <c r="A150">
        <v>40</v>
      </c>
      <c r="B150" s="1">
        <f t="shared" si="0"/>
        <v>2400</v>
      </c>
      <c r="C150" s="4">
        <f t="shared" si="12"/>
        <v>0.66666666666666663</v>
      </c>
      <c r="D150" s="4">
        <f t="shared" si="10"/>
        <v>0.44444444444444442</v>
      </c>
      <c r="E150" s="4">
        <f t="shared" si="11"/>
        <v>0.29629629629629628</v>
      </c>
      <c r="F150" s="4"/>
      <c r="G150" s="6">
        <v>40</v>
      </c>
      <c r="H150" s="1">
        <f t="shared" si="1"/>
        <v>333.33333333333331</v>
      </c>
      <c r="I150" s="1">
        <f t="shared" si="2"/>
        <v>500</v>
      </c>
      <c r="J150" s="1">
        <f t="shared" si="3"/>
        <v>666.66666666666663</v>
      </c>
      <c r="K150" s="1">
        <f t="shared" si="4"/>
        <v>833.33333333333326</v>
      </c>
      <c r="L150" s="1">
        <f t="shared" si="5"/>
        <v>1000</v>
      </c>
      <c r="M150" s="1">
        <f t="shared" si="6"/>
        <v>1166.6666666666665</v>
      </c>
      <c r="N150" s="1">
        <f t="shared" si="7"/>
        <v>1333.3333333333333</v>
      </c>
      <c r="O150" s="1">
        <f t="shared" si="8"/>
        <v>1500</v>
      </c>
      <c r="P150" s="1">
        <f t="shared" si="21"/>
        <v>88.888888888888886</v>
      </c>
      <c r="Q150" s="1">
        <f t="shared" si="21"/>
        <v>86.666666666666657</v>
      </c>
      <c r="R150" s="1">
        <f t="shared" si="21"/>
        <v>83.1111111111111</v>
      </c>
      <c r="S150" s="1">
        <f t="shared" si="21"/>
        <v>79.1111111111111</v>
      </c>
      <c r="T150" s="1">
        <f t="shared" si="21"/>
        <v>73.333333333333329</v>
      </c>
      <c r="U150" s="1">
        <f t="shared" si="21"/>
        <v>65.777777777777771</v>
      </c>
      <c r="V150" s="1">
        <f t="shared" si="21"/>
        <v>55.55555555555555</v>
      </c>
      <c r="W150" s="1">
        <f t="shared" si="21"/>
        <v>44.444444444444443</v>
      </c>
      <c r="X150" s="1"/>
      <c r="Y150" s="8">
        <f t="shared" ref="Y150:AF150" si="25">(H150*P150)/(3960*P20)</f>
        <v>12.47038284075321</v>
      </c>
      <c r="Z150" s="8">
        <f t="shared" si="25"/>
        <v>15.198279087167975</v>
      </c>
      <c r="AA150" s="8">
        <f t="shared" si="25"/>
        <v>17.489711934156375</v>
      </c>
      <c r="AB150" s="8">
        <f t="shared" si="25"/>
        <v>19.819001300482778</v>
      </c>
      <c r="AC150" s="8">
        <f t="shared" si="25"/>
        <v>21.533161068044787</v>
      </c>
      <c r="AD150" s="8">
        <f t="shared" si="25"/>
        <v>22.533691784337776</v>
      </c>
      <c r="AE150" s="8">
        <f t="shared" si="25"/>
        <v>22.536836459192546</v>
      </c>
      <c r="AF150" s="8">
        <f t="shared" si="25"/>
        <v>22.750022750022751</v>
      </c>
      <c r="AH150" s="41">
        <f t="shared" ref="AH150:AO150" si="26">(((Y150*0.746)/$Q26)/60)*(1000/H150)</f>
        <v>0.51682808884454967</v>
      </c>
      <c r="AI150" s="41">
        <f t="shared" si="26"/>
        <v>0.4199228221861967</v>
      </c>
      <c r="AJ150" s="41">
        <f t="shared" si="26"/>
        <v>0.36242569730224039</v>
      </c>
      <c r="AK150" s="41">
        <f t="shared" si="26"/>
        <v>0.32855499933689236</v>
      </c>
      <c r="AL150" s="41">
        <f t="shared" si="26"/>
        <v>0.29747663253261869</v>
      </c>
      <c r="AM150" s="41">
        <f t="shared" si="26"/>
        <v>0.26682752493834894</v>
      </c>
      <c r="AN150" s="41">
        <f t="shared" si="26"/>
        <v>0.23350666664663383</v>
      </c>
      <c r="AO150" s="41">
        <f t="shared" si="26"/>
        <v>0.20952490088292558</v>
      </c>
      <c r="AP150" s="1"/>
      <c r="AQ150" s="44">
        <f t="shared" ref="AQ150:AX150" si="27">AH150*$W26</f>
        <v>5.1682808884454971E-2</v>
      </c>
      <c r="AR150" s="44">
        <f t="shared" si="27"/>
        <v>4.199228221861967E-2</v>
      </c>
      <c r="AS150" s="44">
        <f t="shared" si="27"/>
        <v>3.6242569730224043E-2</v>
      </c>
      <c r="AT150" s="44">
        <f t="shared" si="27"/>
        <v>3.285549993368924E-2</v>
      </c>
      <c r="AU150" s="44">
        <f t="shared" si="27"/>
        <v>2.974766325326187E-2</v>
      </c>
      <c r="AV150" s="44">
        <f t="shared" si="27"/>
        <v>2.6682752493834894E-2</v>
      </c>
      <c r="AW150" s="44">
        <f t="shared" si="27"/>
        <v>2.3350666664663386E-2</v>
      </c>
      <c r="AX150" s="44">
        <f t="shared" si="27"/>
        <v>2.0952490088292558E-2</v>
      </c>
    </row>
    <row r="151" spans="1:50" ht="0.95" customHeight="1">
      <c r="A151">
        <v>39</v>
      </c>
      <c r="B151" s="1">
        <f t="shared" si="0"/>
        <v>2340</v>
      </c>
      <c r="C151" s="4">
        <f t="shared" si="12"/>
        <v>0.65</v>
      </c>
      <c r="D151" s="4">
        <f t="shared" si="10"/>
        <v>0.42250000000000004</v>
      </c>
      <c r="E151" s="4">
        <f t="shared" si="11"/>
        <v>0.27462500000000006</v>
      </c>
      <c r="F151" s="4"/>
      <c r="G151" s="6">
        <v>39</v>
      </c>
      <c r="H151" s="1">
        <f t="shared" si="1"/>
        <v>325</v>
      </c>
      <c r="I151" s="1">
        <f t="shared" si="2"/>
        <v>487.5</v>
      </c>
      <c r="J151" s="1">
        <f t="shared" si="3"/>
        <v>650</v>
      </c>
      <c r="K151" s="1">
        <f t="shared" si="4"/>
        <v>812.5</v>
      </c>
      <c r="L151" s="1">
        <f t="shared" si="5"/>
        <v>975</v>
      </c>
      <c r="M151" s="1">
        <f t="shared" si="6"/>
        <v>1137.5</v>
      </c>
      <c r="N151" s="1">
        <f t="shared" si="7"/>
        <v>1300</v>
      </c>
      <c r="O151" s="1">
        <f t="shared" si="8"/>
        <v>1462.5</v>
      </c>
      <c r="P151" s="1">
        <f t="shared" ref="P151:W160" si="28">P$17*$D151</f>
        <v>84.500000000000014</v>
      </c>
      <c r="Q151" s="1">
        <f t="shared" si="28"/>
        <v>82.387500000000003</v>
      </c>
      <c r="R151" s="1">
        <f t="shared" si="28"/>
        <v>79.007500000000007</v>
      </c>
      <c r="S151" s="1">
        <f t="shared" si="28"/>
        <v>75.205000000000013</v>
      </c>
      <c r="T151" s="1">
        <f t="shared" si="28"/>
        <v>69.712500000000006</v>
      </c>
      <c r="U151" s="1">
        <f t="shared" si="28"/>
        <v>62.530000000000008</v>
      </c>
      <c r="V151" s="1">
        <f t="shared" si="28"/>
        <v>52.812500000000007</v>
      </c>
      <c r="W151" s="1">
        <f t="shared" si="28"/>
        <v>42.250000000000007</v>
      </c>
      <c r="X151" s="1"/>
      <c r="Y151" s="7"/>
      <c r="Z151" s="1"/>
      <c r="AA151" s="1"/>
      <c r="AB151" s="1"/>
      <c r="AC151" s="1"/>
      <c r="AD151" s="1"/>
      <c r="AE151" s="1"/>
      <c r="AF151" s="1"/>
      <c r="AH151" s="31"/>
      <c r="AI151" s="31"/>
      <c r="AJ151" s="31"/>
      <c r="AK151" s="31"/>
      <c r="AL151" s="31"/>
      <c r="AM151" s="31"/>
      <c r="AN151" s="31"/>
      <c r="AO151" s="31"/>
      <c r="AP151" s="1"/>
      <c r="AQ151" s="44"/>
      <c r="AR151" s="44"/>
      <c r="AS151" s="44"/>
      <c r="AT151" s="44"/>
      <c r="AU151" s="44"/>
      <c r="AV151" s="44"/>
      <c r="AW151" s="44"/>
      <c r="AX151" s="44"/>
    </row>
    <row r="152" spans="1:50" ht="0.95" customHeight="1">
      <c r="A152">
        <v>38</v>
      </c>
      <c r="B152" s="1">
        <f t="shared" si="0"/>
        <v>2280</v>
      </c>
      <c r="C152" s="4">
        <f t="shared" si="12"/>
        <v>0.6333333333333333</v>
      </c>
      <c r="D152" s="4">
        <f t="shared" si="10"/>
        <v>0.40111111111111108</v>
      </c>
      <c r="E152" s="4">
        <f t="shared" si="11"/>
        <v>0.25403703703703701</v>
      </c>
      <c r="F152" s="4"/>
      <c r="G152" s="6">
        <v>38</v>
      </c>
      <c r="H152" s="1">
        <f t="shared" si="1"/>
        <v>316.66666666666663</v>
      </c>
      <c r="I152" s="1">
        <f t="shared" si="2"/>
        <v>475</v>
      </c>
      <c r="J152" s="1">
        <f t="shared" si="3"/>
        <v>633.33333333333326</v>
      </c>
      <c r="K152" s="1">
        <f t="shared" si="4"/>
        <v>791.66666666666663</v>
      </c>
      <c r="L152" s="1">
        <f t="shared" si="5"/>
        <v>950</v>
      </c>
      <c r="M152" s="1">
        <f t="shared" si="6"/>
        <v>1108.3333333333333</v>
      </c>
      <c r="N152" s="1">
        <f t="shared" si="7"/>
        <v>1266.6666666666665</v>
      </c>
      <c r="O152" s="1">
        <f t="shared" si="8"/>
        <v>1425</v>
      </c>
      <c r="P152" s="1">
        <f t="shared" si="28"/>
        <v>80.222222222222214</v>
      </c>
      <c r="Q152" s="1">
        <f t="shared" si="28"/>
        <v>78.216666666666669</v>
      </c>
      <c r="R152" s="1">
        <f t="shared" si="28"/>
        <v>75.007777777777775</v>
      </c>
      <c r="S152" s="1">
        <f t="shared" si="28"/>
        <v>71.397777777777776</v>
      </c>
      <c r="T152" s="1">
        <f t="shared" si="28"/>
        <v>66.183333333333323</v>
      </c>
      <c r="U152" s="1">
        <f t="shared" si="28"/>
        <v>59.364444444444437</v>
      </c>
      <c r="V152" s="1">
        <f t="shared" si="28"/>
        <v>50.138888888888886</v>
      </c>
      <c r="W152" s="1">
        <f t="shared" si="28"/>
        <v>40.111111111111107</v>
      </c>
      <c r="X152" s="1"/>
      <c r="Y152" s="7"/>
      <c r="Z152" s="1"/>
      <c r="AA152" s="1"/>
      <c r="AB152" s="1"/>
      <c r="AC152" s="1"/>
      <c r="AD152" s="1"/>
      <c r="AE152" s="1"/>
      <c r="AF152" s="1"/>
      <c r="AH152" s="31"/>
      <c r="AI152" s="31"/>
      <c r="AJ152" s="31"/>
      <c r="AK152" s="31"/>
      <c r="AL152" s="31"/>
      <c r="AM152" s="31"/>
      <c r="AN152" s="31"/>
      <c r="AO152" s="31"/>
      <c r="AP152" s="1"/>
      <c r="AQ152" s="44"/>
      <c r="AR152" s="44"/>
      <c r="AS152" s="44"/>
      <c r="AT152" s="44"/>
      <c r="AU152" s="44"/>
      <c r="AV152" s="44"/>
      <c r="AW152" s="44"/>
      <c r="AX152" s="44"/>
    </row>
    <row r="153" spans="1:50" ht="0.95" customHeight="1">
      <c r="A153">
        <v>37</v>
      </c>
      <c r="B153" s="1">
        <f t="shared" si="0"/>
        <v>2220</v>
      </c>
      <c r="C153" s="4">
        <f t="shared" si="12"/>
        <v>0.6166666666666667</v>
      </c>
      <c r="D153" s="4">
        <f t="shared" si="10"/>
        <v>0.38027777777777783</v>
      </c>
      <c r="E153" s="4">
        <f t="shared" si="11"/>
        <v>0.23450462962962967</v>
      </c>
      <c r="F153" s="4"/>
      <c r="G153" s="6">
        <v>37</v>
      </c>
      <c r="H153" s="1">
        <f t="shared" si="1"/>
        <v>308.33333333333337</v>
      </c>
      <c r="I153" s="1">
        <f t="shared" si="2"/>
        <v>462.5</v>
      </c>
      <c r="J153" s="1">
        <f t="shared" si="3"/>
        <v>616.66666666666674</v>
      </c>
      <c r="K153" s="1">
        <f t="shared" si="4"/>
        <v>770.83333333333337</v>
      </c>
      <c r="L153" s="1">
        <f t="shared" si="5"/>
        <v>925</v>
      </c>
      <c r="M153" s="1">
        <f t="shared" si="6"/>
        <v>1079.1666666666667</v>
      </c>
      <c r="N153" s="1">
        <f t="shared" si="7"/>
        <v>1233.3333333333335</v>
      </c>
      <c r="O153" s="1">
        <f t="shared" si="8"/>
        <v>1387.5</v>
      </c>
      <c r="P153" s="1">
        <f t="shared" si="28"/>
        <v>76.055555555555571</v>
      </c>
      <c r="Q153" s="1">
        <f t="shared" si="28"/>
        <v>74.154166666666683</v>
      </c>
      <c r="R153" s="1">
        <f t="shared" si="28"/>
        <v>71.111944444444447</v>
      </c>
      <c r="S153" s="1">
        <f t="shared" si="28"/>
        <v>67.689444444444447</v>
      </c>
      <c r="T153" s="1">
        <f t="shared" si="28"/>
        <v>62.745833333333344</v>
      </c>
      <c r="U153" s="1">
        <f t="shared" si="28"/>
        <v>56.281111111111116</v>
      </c>
      <c r="V153" s="1">
        <f t="shared" si="28"/>
        <v>47.534722222222229</v>
      </c>
      <c r="W153" s="1">
        <f t="shared" si="28"/>
        <v>38.027777777777786</v>
      </c>
      <c r="X153" s="1"/>
      <c r="Y153" s="7"/>
      <c r="Z153" s="1"/>
      <c r="AA153" s="1"/>
      <c r="AB153" s="1"/>
      <c r="AC153" s="1"/>
      <c r="AD153" s="1"/>
      <c r="AE153" s="1"/>
      <c r="AF153" s="1"/>
      <c r="AH153" s="31"/>
      <c r="AI153" s="31"/>
      <c r="AJ153" s="31"/>
      <c r="AK153" s="31"/>
      <c r="AL153" s="31"/>
      <c r="AM153" s="31"/>
      <c r="AN153" s="31"/>
      <c r="AO153" s="31"/>
      <c r="AP153" s="1"/>
      <c r="AQ153" s="44"/>
      <c r="AR153" s="44"/>
      <c r="AS153" s="44"/>
      <c r="AT153" s="44"/>
      <c r="AU153" s="44"/>
      <c r="AV153" s="44"/>
      <c r="AW153" s="44"/>
      <c r="AX153" s="44"/>
    </row>
    <row r="154" spans="1:50" ht="0.95" customHeight="1">
      <c r="A154">
        <v>36</v>
      </c>
      <c r="B154" s="1">
        <f t="shared" si="0"/>
        <v>2160</v>
      </c>
      <c r="C154" s="4">
        <f t="shared" si="12"/>
        <v>0.6</v>
      </c>
      <c r="D154" s="4">
        <f t="shared" si="10"/>
        <v>0.36</v>
      </c>
      <c r="E154" s="4">
        <f t="shared" si="11"/>
        <v>0.216</v>
      </c>
      <c r="F154" s="4"/>
      <c r="G154" s="6">
        <v>36</v>
      </c>
      <c r="H154" s="1">
        <f t="shared" si="1"/>
        <v>300</v>
      </c>
      <c r="I154" s="1">
        <f t="shared" si="2"/>
        <v>450</v>
      </c>
      <c r="J154" s="1">
        <f t="shared" si="3"/>
        <v>600</v>
      </c>
      <c r="K154" s="1">
        <f t="shared" si="4"/>
        <v>750</v>
      </c>
      <c r="L154" s="1">
        <f t="shared" si="5"/>
        <v>900</v>
      </c>
      <c r="M154" s="1">
        <f t="shared" si="6"/>
        <v>1050</v>
      </c>
      <c r="N154" s="1">
        <f t="shared" si="7"/>
        <v>1200</v>
      </c>
      <c r="O154" s="1">
        <f t="shared" si="8"/>
        <v>1350</v>
      </c>
      <c r="P154" s="1">
        <f t="shared" si="28"/>
        <v>72</v>
      </c>
      <c r="Q154" s="1">
        <f t="shared" si="28"/>
        <v>70.2</v>
      </c>
      <c r="R154" s="1">
        <f t="shared" si="28"/>
        <v>67.319999999999993</v>
      </c>
      <c r="S154" s="1">
        <f t="shared" si="28"/>
        <v>64.08</v>
      </c>
      <c r="T154" s="1">
        <f t="shared" si="28"/>
        <v>59.4</v>
      </c>
      <c r="U154" s="1">
        <f t="shared" si="28"/>
        <v>53.28</v>
      </c>
      <c r="V154" s="1">
        <f t="shared" si="28"/>
        <v>45</v>
      </c>
      <c r="W154" s="1">
        <f t="shared" si="28"/>
        <v>36</v>
      </c>
      <c r="X154" s="1"/>
      <c r="Y154" s="7"/>
      <c r="Z154" s="1"/>
      <c r="AA154" s="1"/>
      <c r="AB154" s="1"/>
      <c r="AC154" s="1"/>
      <c r="AD154" s="1"/>
      <c r="AE154" s="1"/>
      <c r="AF154" s="1"/>
      <c r="AH154" s="31"/>
      <c r="AI154" s="31"/>
      <c r="AJ154" s="31"/>
      <c r="AK154" s="31"/>
      <c r="AL154" s="31"/>
      <c r="AM154" s="31"/>
      <c r="AN154" s="31"/>
      <c r="AO154" s="31"/>
      <c r="AP154" s="1"/>
      <c r="AQ154" s="44"/>
      <c r="AR154" s="44"/>
      <c r="AS154" s="44"/>
      <c r="AT154" s="44"/>
      <c r="AU154" s="44"/>
      <c r="AV154" s="44"/>
      <c r="AW154" s="44"/>
      <c r="AX154" s="44"/>
    </row>
    <row r="155" spans="1:50" ht="0.95" customHeight="1">
      <c r="A155">
        <v>35</v>
      </c>
      <c r="B155" s="1">
        <f t="shared" si="0"/>
        <v>2100</v>
      </c>
      <c r="C155" s="4">
        <f t="shared" si="12"/>
        <v>0.58333333333333337</v>
      </c>
      <c r="D155" s="4">
        <f t="shared" si="10"/>
        <v>0.34027777777777785</v>
      </c>
      <c r="E155" s="4">
        <f t="shared" si="11"/>
        <v>0.19849537037037043</v>
      </c>
      <c r="F155" s="4"/>
      <c r="G155" s="6">
        <v>35</v>
      </c>
      <c r="H155" s="1">
        <f t="shared" si="1"/>
        <v>291.66666666666669</v>
      </c>
      <c r="I155" s="1">
        <f t="shared" si="2"/>
        <v>437.5</v>
      </c>
      <c r="J155" s="1">
        <f t="shared" si="3"/>
        <v>583.33333333333337</v>
      </c>
      <c r="K155" s="1">
        <f t="shared" si="4"/>
        <v>729.16666666666674</v>
      </c>
      <c r="L155" s="1">
        <f t="shared" si="5"/>
        <v>875</v>
      </c>
      <c r="M155" s="1">
        <f t="shared" si="6"/>
        <v>1020.8333333333334</v>
      </c>
      <c r="N155" s="1">
        <f t="shared" si="7"/>
        <v>1166.6666666666667</v>
      </c>
      <c r="O155" s="1">
        <f t="shared" si="8"/>
        <v>1312.5</v>
      </c>
      <c r="P155" s="1">
        <f t="shared" si="28"/>
        <v>68.055555555555571</v>
      </c>
      <c r="Q155" s="1">
        <f t="shared" si="28"/>
        <v>66.354166666666686</v>
      </c>
      <c r="R155" s="1">
        <f t="shared" si="28"/>
        <v>63.631944444444457</v>
      </c>
      <c r="S155" s="1">
        <f t="shared" si="28"/>
        <v>60.569444444444457</v>
      </c>
      <c r="T155" s="1">
        <f t="shared" si="28"/>
        <v>56.145833333333343</v>
      </c>
      <c r="U155" s="1">
        <f t="shared" si="28"/>
        <v>50.361111111111121</v>
      </c>
      <c r="V155" s="1">
        <f t="shared" si="28"/>
        <v>42.534722222222229</v>
      </c>
      <c r="W155" s="1">
        <f t="shared" si="28"/>
        <v>34.027777777777786</v>
      </c>
      <c r="X155" s="1"/>
      <c r="Y155" s="8">
        <f t="shared" ref="Y155:AF155" si="29">(H155*P155)/(3960*P20)</f>
        <v>8.3541822546452202</v>
      </c>
      <c r="Z155" s="8">
        <f t="shared" si="29"/>
        <v>10.181659622848862</v>
      </c>
      <c r="AA155" s="8">
        <f t="shared" si="29"/>
        <v>11.716740612139921</v>
      </c>
      <c r="AB155" s="8">
        <f t="shared" si="29"/>
        <v>13.277182511846869</v>
      </c>
      <c r="AC155" s="8">
        <f t="shared" si="29"/>
        <v>14.42553563738157</v>
      </c>
      <c r="AD155" s="8">
        <f t="shared" si="29"/>
        <v>15.095813050835666</v>
      </c>
      <c r="AE155" s="8">
        <f t="shared" si="29"/>
        <v>15.09791973731064</v>
      </c>
      <c r="AF155" s="8">
        <f t="shared" si="29"/>
        <v>15.2407378969879</v>
      </c>
      <c r="AH155" s="41">
        <f t="shared" ref="AH155:AO155" si="30">(((Y155*0.746)/$Q26)/60)*(1000/H155)</f>
        <v>0.39569650552160851</v>
      </c>
      <c r="AI155" s="41">
        <f t="shared" si="30"/>
        <v>0.32150341073630689</v>
      </c>
      <c r="AJ155" s="41">
        <f t="shared" si="30"/>
        <v>0.27748217449702794</v>
      </c>
      <c r="AK155" s="41">
        <f t="shared" si="30"/>
        <v>0.25154992136730825</v>
      </c>
      <c r="AL155" s="41">
        <f t="shared" si="30"/>
        <v>0.2277555467827862</v>
      </c>
      <c r="AM155" s="41">
        <f t="shared" si="30"/>
        <v>0.20428982378092347</v>
      </c>
      <c r="AN155" s="41">
        <f t="shared" si="30"/>
        <v>0.17877854165132917</v>
      </c>
      <c r="AO155" s="41">
        <f t="shared" si="30"/>
        <v>0.16041750223848991</v>
      </c>
      <c r="AP155" s="1"/>
      <c r="AQ155" s="44">
        <f t="shared" ref="AQ155:AX155" si="31">AH155*$W26</f>
        <v>3.9569650552160857E-2</v>
      </c>
      <c r="AR155" s="44">
        <f t="shared" si="31"/>
        <v>3.2150341073630691E-2</v>
      </c>
      <c r="AS155" s="44">
        <f t="shared" si="31"/>
        <v>2.7748217449702794E-2</v>
      </c>
      <c r="AT155" s="44">
        <f t="shared" si="31"/>
        <v>2.5154992136730826E-2</v>
      </c>
      <c r="AU155" s="44">
        <f t="shared" si="31"/>
        <v>2.2775554678278621E-2</v>
      </c>
      <c r="AV155" s="44">
        <f t="shared" si="31"/>
        <v>2.0428982378092347E-2</v>
      </c>
      <c r="AW155" s="44">
        <f t="shared" si="31"/>
        <v>1.7877854165132916E-2</v>
      </c>
      <c r="AX155" s="44">
        <f t="shared" si="31"/>
        <v>1.6041750223848992E-2</v>
      </c>
    </row>
    <row r="156" spans="1:50" ht="0.95" customHeight="1">
      <c r="A156">
        <v>34</v>
      </c>
      <c r="B156" s="1">
        <f t="shared" si="0"/>
        <v>2040</v>
      </c>
      <c r="C156" s="4">
        <f t="shared" si="12"/>
        <v>0.56666666666666665</v>
      </c>
      <c r="D156" s="4">
        <f t="shared" si="10"/>
        <v>0.32111111111111107</v>
      </c>
      <c r="E156" s="4">
        <f t="shared" si="11"/>
        <v>0.18196296296296294</v>
      </c>
      <c r="F156" s="4"/>
      <c r="G156" s="6">
        <v>34</v>
      </c>
      <c r="H156" s="1">
        <f t="shared" si="1"/>
        <v>283.33333333333331</v>
      </c>
      <c r="I156" s="1">
        <f t="shared" si="2"/>
        <v>425</v>
      </c>
      <c r="J156" s="1">
        <f t="shared" si="3"/>
        <v>566.66666666666663</v>
      </c>
      <c r="K156" s="1">
        <f t="shared" si="4"/>
        <v>708.33333333333337</v>
      </c>
      <c r="L156" s="1">
        <f t="shared" si="5"/>
        <v>850</v>
      </c>
      <c r="M156" s="1">
        <f t="shared" si="6"/>
        <v>991.66666666666663</v>
      </c>
      <c r="N156" s="1">
        <f t="shared" si="7"/>
        <v>1133.3333333333333</v>
      </c>
      <c r="O156" s="1">
        <f t="shared" si="8"/>
        <v>1275</v>
      </c>
      <c r="P156" s="1">
        <f t="shared" si="28"/>
        <v>64.222222222222214</v>
      </c>
      <c r="Q156" s="1">
        <f t="shared" si="28"/>
        <v>62.61666666666666</v>
      </c>
      <c r="R156" s="1">
        <f t="shared" si="28"/>
        <v>60.047777777777767</v>
      </c>
      <c r="S156" s="1">
        <f t="shared" si="28"/>
        <v>57.157777777777767</v>
      </c>
      <c r="T156" s="1">
        <f t="shared" si="28"/>
        <v>52.983333333333327</v>
      </c>
      <c r="U156" s="1">
        <f t="shared" si="28"/>
        <v>47.524444444444441</v>
      </c>
      <c r="V156" s="1">
        <f t="shared" si="28"/>
        <v>40.138888888888886</v>
      </c>
      <c r="W156" s="1">
        <f t="shared" si="28"/>
        <v>32.111111111111107</v>
      </c>
      <c r="X156" s="1"/>
      <c r="Y156" s="7"/>
      <c r="Z156" s="1"/>
      <c r="AA156" s="1"/>
      <c r="AB156" s="1"/>
      <c r="AC156" s="1"/>
      <c r="AD156" s="1"/>
      <c r="AE156" s="1"/>
      <c r="AF156" s="1"/>
      <c r="AH156" s="31"/>
      <c r="AI156" s="31"/>
      <c r="AJ156" s="31"/>
      <c r="AK156" s="31"/>
      <c r="AL156" s="31"/>
      <c r="AM156" s="31"/>
      <c r="AN156" s="31"/>
      <c r="AO156" s="31"/>
      <c r="AP156" s="1"/>
      <c r="AQ156" s="44"/>
      <c r="AR156" s="44"/>
      <c r="AS156" s="44"/>
      <c r="AT156" s="44"/>
      <c r="AU156" s="44"/>
      <c r="AV156" s="44"/>
      <c r="AW156" s="44"/>
      <c r="AX156" s="44"/>
    </row>
    <row r="157" spans="1:50" ht="0.95" customHeight="1">
      <c r="A157">
        <v>33</v>
      </c>
      <c r="B157" s="1">
        <f t="shared" si="0"/>
        <v>1980.0000000000002</v>
      </c>
      <c r="C157" s="4">
        <f t="shared" si="12"/>
        <v>0.55000000000000004</v>
      </c>
      <c r="D157" s="4">
        <f t="shared" si="10"/>
        <v>0.30250000000000005</v>
      </c>
      <c r="E157" s="4">
        <f t="shared" si="11"/>
        <v>0.16637500000000005</v>
      </c>
      <c r="F157" s="4"/>
      <c r="G157" s="6">
        <v>33</v>
      </c>
      <c r="H157" s="1">
        <f t="shared" si="1"/>
        <v>275</v>
      </c>
      <c r="I157" s="1">
        <f t="shared" si="2"/>
        <v>412.50000000000006</v>
      </c>
      <c r="J157" s="1">
        <f t="shared" si="3"/>
        <v>550</v>
      </c>
      <c r="K157" s="1">
        <f t="shared" si="4"/>
        <v>687.5</v>
      </c>
      <c r="L157" s="1">
        <f t="shared" si="5"/>
        <v>825.00000000000011</v>
      </c>
      <c r="M157" s="1">
        <f t="shared" si="6"/>
        <v>962.50000000000011</v>
      </c>
      <c r="N157" s="1">
        <f t="shared" si="7"/>
        <v>1100</v>
      </c>
      <c r="O157" s="1">
        <f t="shared" si="8"/>
        <v>1237.5</v>
      </c>
      <c r="P157" s="1">
        <f t="shared" si="28"/>
        <v>60.500000000000007</v>
      </c>
      <c r="Q157" s="1">
        <f t="shared" si="28"/>
        <v>58.987500000000011</v>
      </c>
      <c r="R157" s="1">
        <f t="shared" si="28"/>
        <v>56.56750000000001</v>
      </c>
      <c r="S157" s="1">
        <f t="shared" si="28"/>
        <v>53.845000000000006</v>
      </c>
      <c r="T157" s="1">
        <f t="shared" si="28"/>
        <v>49.912500000000009</v>
      </c>
      <c r="U157" s="1">
        <f t="shared" si="28"/>
        <v>44.77000000000001</v>
      </c>
      <c r="V157" s="1">
        <f t="shared" si="28"/>
        <v>37.812500000000007</v>
      </c>
      <c r="W157" s="1">
        <f t="shared" si="28"/>
        <v>30.250000000000004</v>
      </c>
      <c r="X157" s="1"/>
      <c r="Y157" s="7"/>
      <c r="Z157" s="1"/>
      <c r="AA157" s="1"/>
      <c r="AB157" s="1"/>
      <c r="AC157" s="1"/>
      <c r="AD157" s="1"/>
      <c r="AE157" s="1"/>
      <c r="AF157" s="1"/>
      <c r="AH157" s="31"/>
      <c r="AI157" s="31"/>
      <c r="AJ157" s="31"/>
      <c r="AK157" s="31"/>
      <c r="AL157" s="31"/>
      <c r="AM157" s="31"/>
      <c r="AN157" s="31"/>
      <c r="AO157" s="31"/>
      <c r="AP157" s="1"/>
      <c r="AQ157" s="44"/>
      <c r="AR157" s="44"/>
      <c r="AS157" s="44"/>
      <c r="AT157" s="44"/>
      <c r="AU157" s="44"/>
      <c r="AV157" s="44"/>
      <c r="AW157" s="44"/>
      <c r="AX157" s="44"/>
    </row>
    <row r="158" spans="1:50" ht="0.95" customHeight="1">
      <c r="A158">
        <v>32</v>
      </c>
      <c r="B158" s="1">
        <f t="shared" si="0"/>
        <v>1920</v>
      </c>
      <c r="C158" s="4">
        <f t="shared" si="12"/>
        <v>0.53333333333333333</v>
      </c>
      <c r="D158" s="4">
        <f t="shared" si="10"/>
        <v>0.28444444444444444</v>
      </c>
      <c r="E158" s="4">
        <f t="shared" si="11"/>
        <v>0.1517037037037037</v>
      </c>
      <c r="F158" s="4"/>
      <c r="G158" s="6">
        <v>32</v>
      </c>
      <c r="H158" s="1">
        <f t="shared" si="1"/>
        <v>266.66666666666669</v>
      </c>
      <c r="I158" s="1">
        <f t="shared" si="2"/>
        <v>400</v>
      </c>
      <c r="J158" s="1">
        <f t="shared" si="3"/>
        <v>533.33333333333337</v>
      </c>
      <c r="K158" s="1">
        <f t="shared" si="4"/>
        <v>666.66666666666663</v>
      </c>
      <c r="L158" s="1">
        <f t="shared" si="5"/>
        <v>800</v>
      </c>
      <c r="M158" s="1">
        <f t="shared" si="6"/>
        <v>933.33333333333337</v>
      </c>
      <c r="N158" s="1">
        <f t="shared" si="7"/>
        <v>1066.6666666666667</v>
      </c>
      <c r="O158" s="1">
        <f t="shared" si="8"/>
        <v>1200</v>
      </c>
      <c r="P158" s="1">
        <f t="shared" si="28"/>
        <v>56.888888888888886</v>
      </c>
      <c r="Q158" s="1">
        <f t="shared" si="28"/>
        <v>55.466666666666669</v>
      </c>
      <c r="R158" s="1">
        <f t="shared" si="28"/>
        <v>53.191111111111113</v>
      </c>
      <c r="S158" s="1">
        <f t="shared" si="28"/>
        <v>50.63111111111111</v>
      </c>
      <c r="T158" s="1">
        <f t="shared" si="28"/>
        <v>46.93333333333333</v>
      </c>
      <c r="U158" s="1">
        <f t="shared" si="28"/>
        <v>42.097777777777779</v>
      </c>
      <c r="V158" s="1">
        <f t="shared" si="28"/>
        <v>35.555555555555557</v>
      </c>
      <c r="W158" s="1">
        <f t="shared" si="28"/>
        <v>28.444444444444443</v>
      </c>
      <c r="X158" s="1"/>
      <c r="Y158" s="7"/>
      <c r="Z158" s="1"/>
      <c r="AA158" s="1"/>
      <c r="AB158" s="1"/>
      <c r="AC158" s="1"/>
      <c r="AD158" s="1"/>
      <c r="AE158" s="1"/>
      <c r="AF158" s="1"/>
      <c r="AH158" s="31"/>
      <c r="AI158" s="31"/>
      <c r="AJ158" s="31"/>
      <c r="AK158" s="31"/>
      <c r="AL158" s="31"/>
      <c r="AM158" s="31"/>
      <c r="AN158" s="31"/>
      <c r="AO158" s="31"/>
      <c r="AP158" s="1"/>
      <c r="AQ158" s="44"/>
      <c r="AR158" s="44"/>
      <c r="AS158" s="44"/>
      <c r="AT158" s="44"/>
      <c r="AU158" s="44"/>
      <c r="AV158" s="44"/>
      <c r="AW158" s="44"/>
      <c r="AX158" s="44"/>
    </row>
    <row r="159" spans="1:50" ht="0.95" customHeight="1">
      <c r="A159">
        <v>31</v>
      </c>
      <c r="B159" s="1">
        <f t="shared" si="0"/>
        <v>1860.0000000000002</v>
      </c>
      <c r="C159" s="4">
        <f t="shared" si="12"/>
        <v>0.51666666666666672</v>
      </c>
      <c r="D159" s="4">
        <f t="shared" si="10"/>
        <v>0.26694444444444448</v>
      </c>
      <c r="E159" s="4">
        <f t="shared" si="11"/>
        <v>0.13792129629629632</v>
      </c>
      <c r="F159" s="4"/>
      <c r="G159" s="6">
        <v>31</v>
      </c>
      <c r="H159" s="1">
        <f t="shared" si="1"/>
        <v>258.33333333333337</v>
      </c>
      <c r="I159" s="1">
        <f t="shared" si="2"/>
        <v>387.50000000000006</v>
      </c>
      <c r="J159" s="1">
        <f t="shared" si="3"/>
        <v>516.66666666666674</v>
      </c>
      <c r="K159" s="1">
        <f t="shared" si="4"/>
        <v>645.83333333333337</v>
      </c>
      <c r="L159" s="1">
        <f t="shared" si="5"/>
        <v>775.00000000000011</v>
      </c>
      <c r="M159" s="1">
        <f t="shared" si="6"/>
        <v>904.16666666666674</v>
      </c>
      <c r="N159" s="1">
        <f t="shared" si="7"/>
        <v>1033.3333333333335</v>
      </c>
      <c r="O159" s="1">
        <f t="shared" si="8"/>
        <v>1162.5000000000002</v>
      </c>
      <c r="P159" s="1">
        <f t="shared" si="28"/>
        <v>53.3888888888889</v>
      </c>
      <c r="Q159" s="1">
        <f t="shared" si="28"/>
        <v>52.054166666666674</v>
      </c>
      <c r="R159" s="1">
        <f t="shared" si="28"/>
        <v>49.918611111111119</v>
      </c>
      <c r="S159" s="1">
        <f t="shared" si="28"/>
        <v>47.516111111111115</v>
      </c>
      <c r="T159" s="1">
        <f t="shared" si="28"/>
        <v>44.045833333333341</v>
      </c>
      <c r="U159" s="1">
        <f t="shared" si="28"/>
        <v>39.507777777777783</v>
      </c>
      <c r="V159" s="1">
        <f t="shared" si="28"/>
        <v>33.368055555555557</v>
      </c>
      <c r="W159" s="1">
        <f t="shared" si="28"/>
        <v>26.69444444444445</v>
      </c>
      <c r="X159" s="1"/>
      <c r="Y159" s="7"/>
      <c r="Z159" s="1"/>
      <c r="AA159" s="1"/>
      <c r="AB159" s="1"/>
      <c r="AC159" s="1"/>
      <c r="AD159" s="1"/>
      <c r="AE159" s="1"/>
      <c r="AF159" s="1"/>
      <c r="AH159" s="31"/>
      <c r="AI159" s="31"/>
      <c r="AJ159" s="31"/>
      <c r="AK159" s="31"/>
      <c r="AL159" s="31"/>
      <c r="AM159" s="31"/>
      <c r="AN159" s="31"/>
      <c r="AO159" s="31"/>
      <c r="AP159" s="1"/>
      <c r="AQ159" s="44"/>
      <c r="AR159" s="44"/>
      <c r="AS159" s="44"/>
      <c r="AT159" s="44"/>
      <c r="AU159" s="44"/>
      <c r="AV159" s="44"/>
      <c r="AW159" s="44"/>
      <c r="AX159" s="44"/>
    </row>
    <row r="160" spans="1:50" ht="0.95" customHeight="1">
      <c r="A160">
        <v>30</v>
      </c>
      <c r="B160" s="1">
        <f t="shared" si="0"/>
        <v>1800</v>
      </c>
      <c r="C160" s="4">
        <f t="shared" si="12"/>
        <v>0.5</v>
      </c>
      <c r="D160" s="4">
        <f t="shared" si="10"/>
        <v>0.25</v>
      </c>
      <c r="E160" s="4">
        <f t="shared" si="11"/>
        <v>0.125</v>
      </c>
      <c r="F160" s="4"/>
      <c r="G160" s="6">
        <v>30</v>
      </c>
      <c r="H160" s="1">
        <f t="shared" si="1"/>
        <v>250</v>
      </c>
      <c r="I160" s="1">
        <f t="shared" si="2"/>
        <v>375</v>
      </c>
      <c r="J160" s="1">
        <f t="shared" si="3"/>
        <v>500</v>
      </c>
      <c r="K160" s="1">
        <f t="shared" si="4"/>
        <v>625</v>
      </c>
      <c r="L160" s="1">
        <f t="shared" si="5"/>
        <v>750</v>
      </c>
      <c r="M160" s="1">
        <f t="shared" si="6"/>
        <v>875</v>
      </c>
      <c r="N160" s="1">
        <f t="shared" si="7"/>
        <v>1000</v>
      </c>
      <c r="O160" s="1">
        <f t="shared" si="8"/>
        <v>1125</v>
      </c>
      <c r="P160" s="1">
        <f t="shared" si="28"/>
        <v>50</v>
      </c>
      <c r="Q160" s="1">
        <f t="shared" si="28"/>
        <v>48.75</v>
      </c>
      <c r="R160" s="1">
        <f t="shared" si="28"/>
        <v>46.75</v>
      </c>
      <c r="S160" s="1">
        <f t="shared" si="28"/>
        <v>44.5</v>
      </c>
      <c r="T160" s="1">
        <f t="shared" si="28"/>
        <v>41.25</v>
      </c>
      <c r="U160" s="1">
        <f t="shared" si="28"/>
        <v>37</v>
      </c>
      <c r="V160" s="1">
        <f t="shared" si="28"/>
        <v>31.25</v>
      </c>
      <c r="W160" s="1">
        <f t="shared" si="28"/>
        <v>25</v>
      </c>
      <c r="X160" s="1"/>
      <c r="Y160" s="8">
        <f t="shared" ref="Y160:AF160" si="32">(H160*P160)/(3960*P20)</f>
        <v>5.2609427609427613</v>
      </c>
      <c r="Z160" s="8">
        <f t="shared" si="32"/>
        <v>6.4117739898989905</v>
      </c>
      <c r="AA160" s="8">
        <f t="shared" si="32"/>
        <v>7.3784722222222223</v>
      </c>
      <c r="AB160" s="8">
        <f t="shared" si="32"/>
        <v>8.3611411736411743</v>
      </c>
      <c r="AC160" s="8">
        <f t="shared" si="32"/>
        <v>9.0843023255813957</v>
      </c>
      <c r="AD160" s="8">
        <f t="shared" si="32"/>
        <v>9.5064012215175016</v>
      </c>
      <c r="AE160" s="8">
        <f t="shared" si="32"/>
        <v>9.5077278812218573</v>
      </c>
      <c r="AF160" s="8">
        <f t="shared" si="32"/>
        <v>9.5976658476658478</v>
      </c>
      <c r="AH160" s="41">
        <f t="shared" ref="AH160:AO160" si="33">(((Y160*0.746)/$Q26)/60)*(1000/H160)</f>
        <v>0.29071579997505925</v>
      </c>
      <c r="AI160" s="41">
        <f t="shared" si="33"/>
        <v>0.23620658747973566</v>
      </c>
      <c r="AJ160" s="41">
        <f t="shared" si="33"/>
        <v>0.20386445473251028</v>
      </c>
      <c r="AK160" s="41">
        <f t="shared" si="33"/>
        <v>0.18481218712700198</v>
      </c>
      <c r="AL160" s="41">
        <f t="shared" si="33"/>
        <v>0.16733060579959805</v>
      </c>
      <c r="AM160" s="41">
        <f t="shared" si="33"/>
        <v>0.1500904827778213</v>
      </c>
      <c r="AN160" s="41">
        <f t="shared" si="33"/>
        <v>0.13134749998873158</v>
      </c>
      <c r="AO160" s="41">
        <f t="shared" si="33"/>
        <v>0.11785775674664564</v>
      </c>
      <c r="AP160" s="1"/>
      <c r="AQ160" s="44">
        <f t="shared" ref="AQ160:AX160" si="34">AH160*$W26</f>
        <v>2.9071579997505925E-2</v>
      </c>
      <c r="AR160" s="44">
        <f t="shared" si="34"/>
        <v>2.3620658747973568E-2</v>
      </c>
      <c r="AS160" s="44">
        <f t="shared" si="34"/>
        <v>2.0386445473251028E-2</v>
      </c>
      <c r="AT160" s="44">
        <f t="shared" si="34"/>
        <v>1.8481218712700198E-2</v>
      </c>
      <c r="AU160" s="44">
        <f t="shared" si="34"/>
        <v>1.6733060579959807E-2</v>
      </c>
      <c r="AV160" s="44">
        <f t="shared" si="34"/>
        <v>1.5009048277782131E-2</v>
      </c>
      <c r="AW160" s="44">
        <f t="shared" si="34"/>
        <v>1.3134749998873159E-2</v>
      </c>
      <c r="AX160" s="44">
        <f t="shared" si="34"/>
        <v>1.1785775674664566E-2</v>
      </c>
    </row>
    <row r="161" spans="7:32" ht="0.95" customHeight="1">
      <c r="G161" s="6"/>
      <c r="K161" s="1"/>
      <c r="L161" s="1"/>
      <c r="X161" s="1"/>
      <c r="Y161" s="6"/>
    </row>
    <row r="162" spans="7:32" ht="0.95" customHeight="1">
      <c r="G162" s="6"/>
      <c r="I162">
        <v>100</v>
      </c>
      <c r="J162">
        <v>77</v>
      </c>
      <c r="K162" s="1">
        <v>58</v>
      </c>
      <c r="L162" s="1"/>
      <c r="X162" s="1"/>
      <c r="Y162" s="6"/>
    </row>
    <row r="163" spans="7:32" ht="0.95" customHeight="1">
      <c r="G163" s="6"/>
      <c r="K163" s="1"/>
      <c r="L163" s="1"/>
      <c r="X163" s="1"/>
      <c r="Y163" s="6"/>
    </row>
    <row r="164" spans="7:32" ht="0.95" customHeight="1">
      <c r="G164" s="6"/>
      <c r="K164" s="1"/>
      <c r="L164" s="1"/>
      <c r="P164" s="1"/>
      <c r="Q164" s="1"/>
      <c r="R164" s="1"/>
      <c r="S164" s="1"/>
      <c r="T164" s="1"/>
      <c r="U164" s="1"/>
      <c r="V164" s="1"/>
      <c r="W164" s="1"/>
      <c r="X164" s="1"/>
      <c r="Y164" s="6"/>
    </row>
    <row r="165" spans="7:32" ht="0.95" customHeight="1">
      <c r="G165" s="6"/>
      <c r="H165" s="10" t="s">
        <v>67</v>
      </c>
      <c r="I165" s="27">
        <f t="shared" ref="I165:P165" si="35">P20*1</f>
        <v>0.6</v>
      </c>
      <c r="J165" s="27">
        <f t="shared" si="35"/>
        <v>0.72</v>
      </c>
      <c r="K165" s="27">
        <f t="shared" si="35"/>
        <v>0.8</v>
      </c>
      <c r="L165" s="27">
        <f t="shared" si="35"/>
        <v>0.84</v>
      </c>
      <c r="M165" s="27">
        <f t="shared" si="35"/>
        <v>0.86</v>
      </c>
      <c r="N165" s="27">
        <f t="shared" si="35"/>
        <v>0.86</v>
      </c>
      <c r="O165" s="27">
        <f t="shared" si="35"/>
        <v>0.83</v>
      </c>
      <c r="P165" s="27">
        <f t="shared" si="35"/>
        <v>0.74</v>
      </c>
      <c r="Q165" s="27"/>
      <c r="R165" s="1"/>
      <c r="S165" s="1"/>
      <c r="T165" s="1"/>
      <c r="U165" s="1"/>
      <c r="V165" s="1"/>
      <c r="W165" s="1"/>
      <c r="X165" s="1"/>
      <c r="Y165" s="6"/>
    </row>
    <row r="166" spans="7:32" ht="0.95" customHeight="1">
      <c r="G166" s="6"/>
      <c r="K166" s="1"/>
      <c r="L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7:32" ht="0.95" customHeight="1">
      <c r="G167" s="6"/>
      <c r="K167" s="1"/>
      <c r="L167" s="1"/>
      <c r="P167" s="1"/>
      <c r="Q167" s="1"/>
      <c r="R167" s="1"/>
      <c r="S167" s="1"/>
      <c r="T167" s="1"/>
      <c r="U167" s="1"/>
      <c r="V167" s="1"/>
      <c r="W167" s="1"/>
      <c r="X167" s="1"/>
      <c r="Y167" s="6"/>
      <c r="Z167" s="6"/>
      <c r="AA167" s="6"/>
      <c r="AB167" s="6"/>
      <c r="AC167" s="6"/>
      <c r="AD167" s="6"/>
      <c r="AE167" s="6"/>
      <c r="AF167" s="6"/>
    </row>
    <row r="168" spans="7:32" ht="0.95" customHeight="1">
      <c r="G168" s="6"/>
      <c r="K168" s="1"/>
      <c r="L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7:32" ht="0.95" customHeight="1">
      <c r="G169" s="6"/>
      <c r="K169" s="1"/>
      <c r="L169" s="1"/>
      <c r="P169" s="1"/>
      <c r="Q169" s="1"/>
      <c r="R169" s="1"/>
      <c r="S169" s="1"/>
      <c r="T169" s="1"/>
      <c r="U169" s="1"/>
      <c r="V169" s="1"/>
      <c r="W169" s="1"/>
      <c r="X169" s="1"/>
      <c r="Y169" s="6"/>
    </row>
    <row r="170" spans="7:32" ht="0.95" customHeight="1">
      <c r="G170" s="6"/>
      <c r="K170" s="1"/>
      <c r="L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7:32" ht="0.95" customHeight="1">
      <c r="G171" s="6"/>
      <c r="K171" s="1"/>
      <c r="L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7:32" ht="0.95" customHeight="1">
      <c r="G172" s="6"/>
      <c r="K172" s="1"/>
      <c r="L172" s="1"/>
      <c r="P172" s="1"/>
      <c r="Q172" s="1"/>
      <c r="R172" s="1"/>
      <c r="S172" s="1"/>
      <c r="T172" s="1"/>
      <c r="U172" s="1"/>
      <c r="V172" s="1"/>
      <c r="W172" s="1"/>
      <c r="X172" s="1"/>
    </row>
  </sheetData>
  <phoneticPr fontId="0" type="noConversion"/>
  <hyperlinks>
    <hyperlink ref="H127" r:id="rId1"/>
    <hyperlink ref="L5" r:id="rId2"/>
    <hyperlink ref="P5" r:id="rId3"/>
    <hyperlink ref="L5:O5" r:id="rId4" display="http://www.PumpEd101.com"/>
    <hyperlink ref="P5:S5" r:id="rId5" display="http://www.PumpTechnw.com"/>
  </hyperlinks>
  <pageMargins left="0.75" right="0.75" top="1" bottom="1" header="0.5" footer="0.5"/>
  <pageSetup orientation="landscape" horizontalDpi="4294967293" verticalDpi="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G15" sqref="G15"/>
    </sheetView>
  </sheetViews>
  <sheetFormatPr defaultRowHeight="12.75"/>
  <cols>
    <col min="5" max="5" width="10.7109375" style="34" customWidth="1"/>
  </cols>
  <sheetData>
    <row r="1" spans="2:10" ht="20.25">
      <c r="B1" s="32" t="s">
        <v>84</v>
      </c>
    </row>
    <row r="3" spans="2:10" ht="15.75">
      <c r="B3" s="33" t="s">
        <v>78</v>
      </c>
      <c r="G3" s="33" t="s">
        <v>79</v>
      </c>
      <c r="J3" s="34"/>
    </row>
    <row r="4" spans="2:10">
      <c r="J4" s="34"/>
    </row>
    <row r="5" spans="2:10">
      <c r="B5" s="11" t="s">
        <v>70</v>
      </c>
      <c r="E5" s="35">
        <f>VSPA!S26*SQRT(VSPA!Q24)/VSPA!S24^0.75</f>
        <v>1678.8191804644148</v>
      </c>
      <c r="G5" s="10" t="s">
        <v>80</v>
      </c>
      <c r="J5" s="40">
        <f>VSPA!U24</f>
        <v>0.86</v>
      </c>
    </row>
    <row r="6" spans="2:10">
      <c r="G6" s="10" t="s">
        <v>81</v>
      </c>
      <c r="J6" s="38">
        <f>(VSPA!Q24*VSPA!S24)/(3960*VSPA!U24)</f>
        <v>76.873385012919897</v>
      </c>
    </row>
    <row r="7" spans="2:10">
      <c r="B7" s="11" t="s">
        <v>146</v>
      </c>
      <c r="G7" s="10" t="s">
        <v>154</v>
      </c>
      <c r="J7" s="37">
        <f>(((J6*0.746)/(VSPA!Q26)/60)*(1000/VSPA!Q24))</f>
        <v>0.62470092831849933</v>
      </c>
    </row>
    <row r="8" spans="2:10">
      <c r="B8" t="s">
        <v>138</v>
      </c>
      <c r="E8" s="35">
        <f>VSPA!S26*SQRT(VSPA!Q24)/VSPA!W24^0.75</f>
        <v>10140.244721222933</v>
      </c>
      <c r="G8" s="10" t="s">
        <v>82</v>
      </c>
      <c r="J8" s="39">
        <f>J7*VSPA!W26</f>
        <v>6.2470092831849934E-2</v>
      </c>
    </row>
    <row r="9" spans="2:10">
      <c r="B9" t="s">
        <v>139</v>
      </c>
      <c r="E9" s="35">
        <f>(VSPA!S26*0.917)*SQRT(VSPA!Q24*0.917)/(VSPA!W24*(0.917^1.5))^0.75</f>
        <v>9816.0539605061276</v>
      </c>
      <c r="J9" s="34"/>
    </row>
    <row r="10" spans="2:10" ht="15.75">
      <c r="B10" t="s">
        <v>140</v>
      </c>
      <c r="E10" s="35">
        <f>(VSPA!S26*0.833)*SQRT(VSPA!Q24*0.833)/(VSPA!W24*(0.833^1.5))^0.75</f>
        <v>9468.699016593373</v>
      </c>
      <c r="G10" s="33" t="s">
        <v>83</v>
      </c>
      <c r="J10" s="34"/>
    </row>
    <row r="11" spans="2:10">
      <c r="B11" t="s">
        <v>141</v>
      </c>
      <c r="E11" s="35">
        <f>(VSPA!S26*0.75)*SQRT(VSPA!Q24*0.75)/(VSPA!W24*(0.75^1.5))^0.75</f>
        <v>9103.2487467162246</v>
      </c>
      <c r="J11" s="34"/>
    </row>
    <row r="12" spans="2:10">
      <c r="B12" t="s">
        <v>142</v>
      </c>
      <c r="E12" s="35">
        <f>(VSPA!S26*0.667)*SQRT(VSPA!Q24*0.667)/(VSPA!W24*(0.667^1.5))^0.75</f>
        <v>8711.5538183665922</v>
      </c>
      <c r="G12" s="10" t="s">
        <v>80</v>
      </c>
      <c r="J12" s="40">
        <f>VSPA!U22</f>
        <v>0.85</v>
      </c>
    </row>
    <row r="13" spans="2:10">
      <c r="B13" t="s">
        <v>143</v>
      </c>
      <c r="E13" s="35">
        <f>(VSPA!S26*0.583)*SQRT(VSPA!Q24*0.583)/(VSPA!W24*(0.583^1.5))^0.75</f>
        <v>8282.7422019461465</v>
      </c>
      <c r="G13" s="10" t="s">
        <v>81</v>
      </c>
      <c r="J13" s="38">
        <f>(VSPA!Q22*VSPA!S22)/(3960*VSPA!U22)</f>
        <v>76.94592988710636</v>
      </c>
    </row>
    <row r="14" spans="2:10">
      <c r="B14" t="s">
        <v>144</v>
      </c>
      <c r="E14" s="35">
        <f>(VSPA!S26*0.5)*SQRT(VSPA!Q24*0.5)/(VSPA!W24*(0.5^1.5))^0.75</f>
        <v>7819.1975906778653</v>
      </c>
      <c r="F14" s="10"/>
      <c r="G14" s="10" t="s">
        <v>154</v>
      </c>
      <c r="J14" s="37">
        <f>(((J13*0.746)/(VSPA!Q26)/60)*(1000/VSPA!Q22))</f>
        <v>0.5745912281859995</v>
      </c>
    </row>
    <row r="15" spans="2:10">
      <c r="G15" s="10" t="s">
        <v>82</v>
      </c>
      <c r="J15" s="39">
        <f>J14*VSPA!W26</f>
        <v>5.7459122818599953E-2</v>
      </c>
    </row>
    <row r="16" spans="2:10">
      <c r="B16" s="11" t="s">
        <v>77</v>
      </c>
    </row>
    <row r="17" spans="2:10">
      <c r="B17" s="10" t="s">
        <v>145</v>
      </c>
      <c r="E17" s="36">
        <v>7.2</v>
      </c>
      <c r="G17" t="s">
        <v>149</v>
      </c>
    </row>
    <row r="18" spans="2:10">
      <c r="B18" t="s">
        <v>138</v>
      </c>
      <c r="E18" s="35">
        <f>E17*VSPA!S26*E8</f>
        <v>129957376.34719311</v>
      </c>
      <c r="G18" t="s">
        <v>152</v>
      </c>
    </row>
    <row r="19" spans="2:10">
      <c r="B19" t="s">
        <v>139</v>
      </c>
      <c r="E19" s="35">
        <f>E17*(VSPA!S26*0.917)*E9</f>
        <v>115360936.11054528</v>
      </c>
    </row>
    <row r="20" spans="2:10">
      <c r="B20" t="s">
        <v>140</v>
      </c>
      <c r="E20" s="35">
        <f>E17*(VSPA!S26*0.833)*E10</f>
        <v>101085255.21501835</v>
      </c>
      <c r="G20" t="s">
        <v>150</v>
      </c>
    </row>
    <row r="21" spans="2:10">
      <c r="B21" t="s">
        <v>141</v>
      </c>
      <c r="E21" s="35">
        <f>E17*(VSPA!S26*0.75)*E11</f>
        <v>87500426.953436345</v>
      </c>
      <c r="G21" t="s">
        <v>151</v>
      </c>
    </row>
    <row r="22" spans="2:10">
      <c r="B22" t="s">
        <v>142</v>
      </c>
      <c r="E22" s="35">
        <f>E17*(VSPA!S26*0.667)*E12</f>
        <v>74468731.582036227</v>
      </c>
    </row>
    <row r="23" spans="2:10">
      <c r="B23" t="s">
        <v>143</v>
      </c>
      <c r="E23" s="35">
        <f>E17*(VSPA!S26*0.583)*E13</f>
        <v>61886396.827062674</v>
      </c>
    </row>
    <row r="24" spans="2:10">
      <c r="B24" t="s">
        <v>144</v>
      </c>
      <c r="E24" s="35">
        <f>E17*(VSPA!S26*0.5)*E14</f>
        <v>50105418.161063761</v>
      </c>
    </row>
    <row r="25" spans="2:10">
      <c r="J25" s="45"/>
    </row>
    <row r="26" spans="2:10">
      <c r="B26" s="10" t="s">
        <v>148</v>
      </c>
      <c r="J26" s="45"/>
    </row>
    <row r="27" spans="2:10">
      <c r="B27" s="10" t="s">
        <v>147</v>
      </c>
      <c r="J27" s="45"/>
    </row>
    <row r="28" spans="2:10">
      <c r="J28" s="45"/>
    </row>
    <row r="29" spans="2:10">
      <c r="J29" s="45"/>
    </row>
    <row r="30" spans="2:10">
      <c r="J30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VSPA</vt:lpstr>
      <vt:lpstr>Useful Calculations</vt:lpstr>
      <vt:lpstr>Pump Head</vt:lpstr>
      <vt:lpstr>Pump Efficiency</vt:lpstr>
      <vt:lpstr>Pump BHP</vt:lpstr>
      <vt:lpstr>kWh per 1000 Gal</vt:lpstr>
      <vt:lpstr>Cost per 1000 Gal</vt:lpstr>
      <vt:lpstr>VSPA!Print_Area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2010-10-03T17:11:52Z</cp:lastPrinted>
  <dcterms:created xsi:type="dcterms:W3CDTF">2002-06-11T22:04:06Z</dcterms:created>
  <dcterms:modified xsi:type="dcterms:W3CDTF">2014-05-13T23:00:08Z</dcterms:modified>
</cp:coreProperties>
</file>