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8445"/>
  </bookViews>
  <sheets>
    <sheet name="Pipe Calcs" sheetId="1" r:id="rId1"/>
    <sheet name="Fitting Calcs" sheetId="2" r:id="rId2"/>
  </sheets>
  <calcPr calcId="125725"/>
</workbook>
</file>

<file path=xl/calcChain.xml><?xml version="1.0" encoding="utf-8"?>
<calcChain xmlns="http://schemas.openxmlformats.org/spreadsheetml/2006/main">
  <c r="Q71" i="2"/>
  <c r="Q70"/>
  <c r="Q69"/>
  <c r="Q65"/>
  <c r="Q64"/>
  <c r="Q45"/>
  <c r="Q44"/>
  <c r="Q43"/>
  <c r="Q42"/>
  <c r="Q37"/>
  <c r="O87"/>
  <c r="N87"/>
  <c r="M87"/>
  <c r="L87"/>
  <c r="K87"/>
  <c r="J87"/>
  <c r="I87"/>
  <c r="H87"/>
  <c r="G87"/>
  <c r="F87"/>
  <c r="E87"/>
  <c r="D87"/>
  <c r="C87"/>
  <c r="B87"/>
  <c r="O86"/>
  <c r="N86"/>
  <c r="M86"/>
  <c r="L86"/>
  <c r="K86"/>
  <c r="J86"/>
  <c r="I86"/>
  <c r="H86"/>
  <c r="G86"/>
  <c r="F86"/>
  <c r="E86"/>
  <c r="D86"/>
  <c r="C86"/>
  <c r="B86"/>
  <c r="O85"/>
  <c r="N85"/>
  <c r="M85"/>
  <c r="L85"/>
  <c r="K85"/>
  <c r="J85"/>
  <c r="I85"/>
  <c r="Q72" s="1"/>
  <c r="H85"/>
  <c r="G85"/>
  <c r="F85"/>
  <c r="E85"/>
  <c r="D85"/>
  <c r="C85"/>
  <c r="B85"/>
  <c r="O84"/>
  <c r="N84"/>
  <c r="M84"/>
  <c r="L84"/>
  <c r="K84"/>
  <c r="J84"/>
  <c r="I84"/>
  <c r="H84"/>
  <c r="G84"/>
  <c r="F84"/>
  <c r="E84"/>
  <c r="D84"/>
  <c r="C84"/>
  <c r="B84"/>
  <c r="O83"/>
  <c r="N83"/>
  <c r="M83"/>
  <c r="L83"/>
  <c r="K83"/>
  <c r="J83"/>
  <c r="I83"/>
  <c r="H83"/>
  <c r="G83"/>
  <c r="F83"/>
  <c r="E83"/>
  <c r="D83"/>
  <c r="C83"/>
  <c r="B83"/>
  <c r="O82"/>
  <c r="N82"/>
  <c r="M82"/>
  <c r="L82"/>
  <c r="K82"/>
  <c r="J82"/>
  <c r="I82"/>
  <c r="H82"/>
  <c r="G82"/>
  <c r="F82"/>
  <c r="E82"/>
  <c r="D82"/>
  <c r="C82"/>
  <c r="B82"/>
  <c r="O81"/>
  <c r="N81"/>
  <c r="M81"/>
  <c r="L81"/>
  <c r="K81"/>
  <c r="J81"/>
  <c r="I81"/>
  <c r="Q68" s="1"/>
  <c r="H81"/>
  <c r="G81"/>
  <c r="F81"/>
  <c r="E81"/>
  <c r="D81"/>
  <c r="C81"/>
  <c r="B81"/>
  <c r="O80"/>
  <c r="N80"/>
  <c r="M80"/>
  <c r="L80"/>
  <c r="K80"/>
  <c r="J80"/>
  <c r="I80"/>
  <c r="Q67" s="1"/>
  <c r="H80"/>
  <c r="G80"/>
  <c r="F80"/>
  <c r="E80"/>
  <c r="D80"/>
  <c r="C80"/>
  <c r="B80"/>
  <c r="O79"/>
  <c r="N79"/>
  <c r="M79"/>
  <c r="L79"/>
  <c r="K79"/>
  <c r="J79"/>
  <c r="I79"/>
  <c r="Q66" s="1"/>
  <c r="H79"/>
  <c r="G79"/>
  <c r="F79"/>
  <c r="E79"/>
  <c r="D79"/>
  <c r="C79"/>
  <c r="B79"/>
  <c r="O78"/>
  <c r="N78"/>
  <c r="M78"/>
  <c r="L78"/>
  <c r="K78"/>
  <c r="J78"/>
  <c r="I78"/>
  <c r="H78"/>
  <c r="G78"/>
  <c r="F78"/>
  <c r="E78"/>
  <c r="D78"/>
  <c r="C78"/>
  <c r="B78"/>
  <c r="O77"/>
  <c r="N77"/>
  <c r="M77"/>
  <c r="L77"/>
  <c r="K77"/>
  <c r="J77"/>
  <c r="I77"/>
  <c r="H77"/>
  <c r="G77"/>
  <c r="F77"/>
  <c r="E77"/>
  <c r="D77"/>
  <c r="C77"/>
  <c r="B77"/>
  <c r="O76"/>
  <c r="N76"/>
  <c r="M76"/>
  <c r="L76"/>
  <c r="K76"/>
  <c r="J76"/>
  <c r="I76"/>
  <c r="Q63" s="1"/>
  <c r="H76"/>
  <c r="G76"/>
  <c r="F76"/>
  <c r="E76"/>
  <c r="D76"/>
  <c r="C76"/>
  <c r="B76"/>
  <c r="O60"/>
  <c r="N60"/>
  <c r="M60"/>
  <c r="L60"/>
  <c r="K60"/>
  <c r="J60"/>
  <c r="I60"/>
  <c r="H60"/>
  <c r="G60"/>
  <c r="F60"/>
  <c r="E60"/>
  <c r="D60"/>
  <c r="C60"/>
  <c r="B60"/>
  <c r="O59"/>
  <c r="N59"/>
  <c r="M59"/>
  <c r="L59"/>
  <c r="K59"/>
  <c r="J59"/>
  <c r="I59"/>
  <c r="H59"/>
  <c r="G59"/>
  <c r="F59"/>
  <c r="E59"/>
  <c r="D59"/>
  <c r="C59"/>
  <c r="B59"/>
  <c r="O58"/>
  <c r="N58"/>
  <c r="M58"/>
  <c r="L58"/>
  <c r="K58"/>
  <c r="J58"/>
  <c r="I58"/>
  <c r="H58"/>
  <c r="G58"/>
  <c r="F58"/>
  <c r="E58"/>
  <c r="D58"/>
  <c r="C58"/>
  <c r="B58"/>
  <c r="O57"/>
  <c r="N57"/>
  <c r="M57"/>
  <c r="L57"/>
  <c r="K57"/>
  <c r="J57"/>
  <c r="I57"/>
  <c r="H57"/>
  <c r="G57"/>
  <c r="F57"/>
  <c r="E57"/>
  <c r="D57"/>
  <c r="C57"/>
  <c r="B57"/>
  <c r="O56"/>
  <c r="N56"/>
  <c r="M56"/>
  <c r="L56"/>
  <c r="K56"/>
  <c r="J56"/>
  <c r="I56"/>
  <c r="H56"/>
  <c r="G56"/>
  <c r="F56"/>
  <c r="E56"/>
  <c r="D56"/>
  <c r="C56"/>
  <c r="B56"/>
  <c r="O55"/>
  <c r="N55"/>
  <c r="M55"/>
  <c r="L55"/>
  <c r="K55"/>
  <c r="J55"/>
  <c r="I55"/>
  <c r="H55"/>
  <c r="G55"/>
  <c r="F55"/>
  <c r="E55"/>
  <c r="D55"/>
  <c r="C55"/>
  <c r="B55"/>
  <c r="O54"/>
  <c r="N54"/>
  <c r="M54"/>
  <c r="L54"/>
  <c r="K54"/>
  <c r="J54"/>
  <c r="I54"/>
  <c r="H54"/>
  <c r="G54"/>
  <c r="F54"/>
  <c r="E54"/>
  <c r="D54"/>
  <c r="C54"/>
  <c r="B54"/>
  <c r="O53"/>
  <c r="N53"/>
  <c r="M53"/>
  <c r="L53"/>
  <c r="K53"/>
  <c r="J53"/>
  <c r="I53"/>
  <c r="Q40" s="1"/>
  <c r="H53"/>
  <c r="G53"/>
  <c r="F53"/>
  <c r="E53"/>
  <c r="D53"/>
  <c r="C53"/>
  <c r="B53"/>
  <c r="O52"/>
  <c r="N52"/>
  <c r="M52"/>
  <c r="L52"/>
  <c r="K52"/>
  <c r="J52"/>
  <c r="I52"/>
  <c r="Q39" s="1"/>
  <c r="H52"/>
  <c r="G52"/>
  <c r="F52"/>
  <c r="E52"/>
  <c r="D52"/>
  <c r="C52"/>
  <c r="B52"/>
  <c r="O51"/>
  <c r="N51"/>
  <c r="M51"/>
  <c r="L51"/>
  <c r="K51"/>
  <c r="J51"/>
  <c r="I51"/>
  <c r="H51"/>
  <c r="G51"/>
  <c r="F51"/>
  <c r="E51"/>
  <c r="D51"/>
  <c r="C51"/>
  <c r="B51"/>
  <c r="O50"/>
  <c r="N50"/>
  <c r="M50"/>
  <c r="L50"/>
  <c r="K50"/>
  <c r="J50"/>
  <c r="I50"/>
  <c r="H50"/>
  <c r="G50"/>
  <c r="F50"/>
  <c r="E50"/>
  <c r="D50"/>
  <c r="C50"/>
  <c r="B50"/>
  <c r="O49"/>
  <c r="N49"/>
  <c r="M49"/>
  <c r="L49"/>
  <c r="K49"/>
  <c r="J49"/>
  <c r="I49"/>
  <c r="Q36" s="1"/>
  <c r="H49"/>
  <c r="G49"/>
  <c r="F49"/>
  <c r="E49"/>
  <c r="D49"/>
  <c r="C49"/>
  <c r="B49"/>
  <c r="B22"/>
  <c r="C22"/>
  <c r="D22"/>
  <c r="E22"/>
  <c r="F22"/>
  <c r="G22"/>
  <c r="H22"/>
  <c r="I22"/>
  <c r="J22"/>
  <c r="K22"/>
  <c r="L22"/>
  <c r="M22"/>
  <c r="N22"/>
  <c r="O22"/>
  <c r="B23"/>
  <c r="C23"/>
  <c r="D23"/>
  <c r="E23"/>
  <c r="F23"/>
  <c r="G23"/>
  <c r="H23"/>
  <c r="I23"/>
  <c r="J23"/>
  <c r="K23"/>
  <c r="L23"/>
  <c r="M23"/>
  <c r="N23"/>
  <c r="O23"/>
  <c r="B24"/>
  <c r="C24"/>
  <c r="D24"/>
  <c r="E24"/>
  <c r="F24"/>
  <c r="G24"/>
  <c r="H24"/>
  <c r="I24"/>
  <c r="J24"/>
  <c r="K24"/>
  <c r="L24"/>
  <c r="M24"/>
  <c r="N24"/>
  <c r="O24"/>
  <c r="B25"/>
  <c r="C25"/>
  <c r="D25"/>
  <c r="E25"/>
  <c r="F25"/>
  <c r="G25"/>
  <c r="H25"/>
  <c r="I25"/>
  <c r="J25"/>
  <c r="K25"/>
  <c r="L25"/>
  <c r="M25"/>
  <c r="N25"/>
  <c r="O25"/>
  <c r="B26"/>
  <c r="C26"/>
  <c r="D26"/>
  <c r="E26"/>
  <c r="F26"/>
  <c r="G26"/>
  <c r="H26"/>
  <c r="I26"/>
  <c r="J26"/>
  <c r="K26"/>
  <c r="L26"/>
  <c r="M26"/>
  <c r="N26"/>
  <c r="O26"/>
  <c r="B27"/>
  <c r="C27"/>
  <c r="D27"/>
  <c r="E27"/>
  <c r="Q14" s="1"/>
  <c r="F27"/>
  <c r="G27"/>
  <c r="H27"/>
  <c r="I27"/>
  <c r="J27"/>
  <c r="K27"/>
  <c r="L27"/>
  <c r="M27"/>
  <c r="N27"/>
  <c r="O27"/>
  <c r="B28"/>
  <c r="C28"/>
  <c r="D28"/>
  <c r="E28"/>
  <c r="F28"/>
  <c r="G28"/>
  <c r="H28"/>
  <c r="I28"/>
  <c r="J28"/>
  <c r="K28"/>
  <c r="L28"/>
  <c r="M28"/>
  <c r="N28"/>
  <c r="O28"/>
  <c r="B29"/>
  <c r="C29"/>
  <c r="D29"/>
  <c r="E29"/>
  <c r="F29"/>
  <c r="G29"/>
  <c r="H29"/>
  <c r="I29"/>
  <c r="J29"/>
  <c r="K29"/>
  <c r="L29"/>
  <c r="M29"/>
  <c r="N29"/>
  <c r="O29"/>
  <c r="B30"/>
  <c r="Q17" s="1"/>
  <c r="C30"/>
  <c r="D30"/>
  <c r="E30"/>
  <c r="F30"/>
  <c r="G30"/>
  <c r="H30"/>
  <c r="I30"/>
  <c r="J30"/>
  <c r="K30"/>
  <c r="L30"/>
  <c r="M30"/>
  <c r="N30"/>
  <c r="O30"/>
  <c r="B31"/>
  <c r="C31"/>
  <c r="D31"/>
  <c r="E31"/>
  <c r="F31"/>
  <c r="G31"/>
  <c r="H31"/>
  <c r="I31"/>
  <c r="J31"/>
  <c r="K31"/>
  <c r="L31"/>
  <c r="M31"/>
  <c r="N31"/>
  <c r="O31"/>
  <c r="B32"/>
  <c r="C32"/>
  <c r="D32"/>
  <c r="E32"/>
  <c r="F32"/>
  <c r="G32"/>
  <c r="H32"/>
  <c r="I32"/>
  <c r="J32"/>
  <c r="K32"/>
  <c r="L32"/>
  <c r="M32"/>
  <c r="N32"/>
  <c r="O32"/>
  <c r="B33"/>
  <c r="C33"/>
  <c r="D33"/>
  <c r="E33"/>
  <c r="F33"/>
  <c r="G33"/>
  <c r="H33"/>
  <c r="I33"/>
  <c r="J33"/>
  <c r="K33"/>
  <c r="L33"/>
  <c r="M33"/>
  <c r="N33"/>
  <c r="O33"/>
  <c r="B47" i="1"/>
  <c r="B48" s="1"/>
  <c r="B45"/>
  <c r="B46" s="1"/>
  <c r="B31"/>
  <c r="B32" s="1"/>
  <c r="B29"/>
  <c r="B30" s="1"/>
  <c r="Q15" i="2"/>
  <c r="B16" i="1"/>
  <c r="B17" s="1"/>
  <c r="B14"/>
  <c r="B15" s="1"/>
  <c r="Q41" i="2" l="1"/>
  <c r="Q38"/>
  <c r="Q75"/>
  <c r="B49" i="1" s="1"/>
  <c r="B50" s="1"/>
  <c r="B51" s="1"/>
  <c r="Q48" i="2"/>
  <c r="B33" i="1" s="1"/>
  <c r="B34" s="1"/>
  <c r="B35" s="1"/>
  <c r="Q11" i="2"/>
  <c r="Q16"/>
  <c r="Q18"/>
  <c r="Q13"/>
  <c r="Q12"/>
  <c r="Q10"/>
  <c r="Q9"/>
  <c r="Q21" l="1"/>
  <c r="B18" i="1" l="1"/>
  <c r="B19" s="1"/>
  <c r="B20" s="1"/>
  <c r="B52" l="1"/>
  <c r="B36"/>
</calcChain>
</file>

<file path=xl/sharedStrings.xml><?xml version="1.0" encoding="utf-8"?>
<sst xmlns="http://schemas.openxmlformats.org/spreadsheetml/2006/main" count="216" uniqueCount="117">
  <si>
    <t>Joe Evans, Ph.D  12/16/12</t>
  </si>
  <si>
    <t>Enter the required data in the yellow cells</t>
  </si>
  <si>
    <t>Pipe ID (Inches)</t>
  </si>
  <si>
    <t>Pipe Length (Feet)</t>
  </si>
  <si>
    <t>Total Pipe Friction</t>
  </si>
  <si>
    <t>Pipe Type</t>
  </si>
  <si>
    <t>C Range</t>
  </si>
  <si>
    <t>C Average</t>
  </si>
  <si>
    <t>Commonly Used</t>
  </si>
  <si>
    <t>Concrete</t>
  </si>
  <si>
    <t>Tar Coated Cast Iron</t>
  </si>
  <si>
    <t>150 - 80</t>
  </si>
  <si>
    <t>PVC</t>
  </si>
  <si>
    <t>Copper, Brass, Lead, Glass</t>
  </si>
  <si>
    <t>160 - 150</t>
  </si>
  <si>
    <t>160 - 130</t>
  </si>
  <si>
    <t>145 - 50</t>
  </si>
  <si>
    <t>150 - 120</t>
  </si>
  <si>
    <t>152 - 85</t>
  </si>
  <si>
    <t>Corrugated Steel</t>
  </si>
  <si>
    <t>Cast / Ductile Iron - New</t>
  </si>
  <si>
    <t>Cast Iron 10 years old</t>
  </si>
  <si>
    <t>113 - 107</t>
  </si>
  <si>
    <t>Cast Iron 20 years old</t>
  </si>
  <si>
    <t>100 - 89</t>
  </si>
  <si>
    <t>Cast Iron 30 years old</t>
  </si>
  <si>
    <t>75 - 90</t>
  </si>
  <si>
    <t>Cast Iron 40 years old</t>
  </si>
  <si>
    <t>83 - 64</t>
  </si>
  <si>
    <t>Steel - New</t>
  </si>
  <si>
    <t>Cement Lined Iron / Steel</t>
  </si>
  <si>
    <t>Asphalt Lined Iron / Steel</t>
  </si>
  <si>
    <t>140 - 130</t>
  </si>
  <si>
    <t>Aluminum</t>
  </si>
  <si>
    <t>150 - 130</t>
  </si>
  <si>
    <t>Asbestos Cement</t>
  </si>
  <si>
    <t>PE</t>
  </si>
  <si>
    <t>Total Fitting Friction</t>
  </si>
  <si>
    <t>Pipe Calcs</t>
  </si>
  <si>
    <t>Fitting Calcs</t>
  </si>
  <si>
    <t>2"</t>
  </si>
  <si>
    <t>2.5"</t>
  </si>
  <si>
    <t>3"</t>
  </si>
  <si>
    <t>4"</t>
  </si>
  <si>
    <t>5"</t>
  </si>
  <si>
    <t>6"</t>
  </si>
  <si>
    <t>8"</t>
  </si>
  <si>
    <t>10"</t>
  </si>
  <si>
    <t>12"</t>
  </si>
  <si>
    <t>14"</t>
  </si>
  <si>
    <t>16"</t>
  </si>
  <si>
    <t>20"</t>
  </si>
  <si>
    <t>24"</t>
  </si>
  <si>
    <t>90 Standard Elbow</t>
  </si>
  <si>
    <t>90 Long Radius Elbow</t>
  </si>
  <si>
    <t>45 Standard Elbow</t>
  </si>
  <si>
    <t>Gate Valve</t>
  </si>
  <si>
    <t>Swing Check Valve</t>
  </si>
  <si>
    <t>Standard Tee (Thru Flow)</t>
  </si>
  <si>
    <t>Standard Tee (Branch Flow)</t>
  </si>
  <si>
    <t>Globe Valve</t>
  </si>
  <si>
    <t>Butterfly Valve</t>
  </si>
  <si>
    <t>180 Return Bend</t>
  </si>
  <si>
    <t>18"</t>
  </si>
  <si>
    <t>gate</t>
  </si>
  <si>
    <t>globe</t>
  </si>
  <si>
    <t>bfly</t>
  </si>
  <si>
    <t>bend</t>
  </si>
  <si>
    <t>branch tee</t>
  </si>
  <si>
    <t>thru tee</t>
  </si>
  <si>
    <t>swing check</t>
  </si>
  <si>
    <t>disc check</t>
  </si>
  <si>
    <t>Calcs                                 std 90</t>
  </si>
  <si>
    <t>long 90</t>
  </si>
  <si>
    <t>Simple Pipe &amp; Fitting Calculations</t>
  </si>
  <si>
    <t>Fittings</t>
  </si>
  <si>
    <t xml:space="preserve">   Total Losses In Equivalent Feet of Pipe</t>
  </si>
  <si>
    <t>Flow Rate (GPM)</t>
  </si>
  <si>
    <t>Velocity in Ft/sec</t>
  </si>
  <si>
    <t>Velocity Head in Ft</t>
  </si>
  <si>
    <t>Friction / 100 Feet of Pipe</t>
  </si>
  <si>
    <t>Fitting Equivalent Length</t>
  </si>
  <si>
    <t>Calculated Results</t>
  </si>
  <si>
    <t>Hazen &amp; Williams C Value</t>
  </si>
  <si>
    <t>Total Friction Losses 1 &amp; 2</t>
  </si>
  <si>
    <t>Total Friction Losses 1, 2 &amp; 3</t>
  </si>
  <si>
    <t>Enter the number of fittings in the yellow cells that correspond to the pipe diameter.  All others must remain blank.</t>
  </si>
  <si>
    <t>Instructions</t>
  </si>
  <si>
    <t>This spreadsheet is designed to calculate pipe and fitting friction for one</t>
  </si>
  <si>
    <t>used for all friction calculations.  This provides flexibility when working</t>
  </si>
  <si>
    <t>with both new and old piping systems.</t>
  </si>
  <si>
    <t>Enter the required data in the four yellow cells for one, two or three pipe</t>
  </si>
  <si>
    <t>desired fitting and its size.  Enter the number of fittings used in that pipe</t>
  </si>
  <si>
    <t>Calcs tab to enter the fitting data.  Click on the box that corresponds to a</t>
  </si>
  <si>
    <t>pipe section.  Enter the quantities of any other fittings in the appropriate box.</t>
  </si>
  <si>
    <t>Note that each pipe section has its own fitting selector.  If a particular fitting</t>
  </si>
  <si>
    <t>is not shown, you may enter it manually in one of the bottom lines.  You will</t>
  </si>
  <si>
    <t>have to look up the "equivalent pipe length" and enter it in Column Q.  The</t>
  </si>
  <si>
    <t xml:space="preserve">value should be the total equivalent length for the number of fittings you </t>
  </si>
  <si>
    <t>entered.  Fitting equivalent length and total fitting friction will be displayed</t>
  </si>
  <si>
    <t>in the calculated results for each pipe section.</t>
  </si>
  <si>
    <t>from the pump connection inside the wet well to a valve box located outside</t>
  </si>
  <si>
    <t xml:space="preserve">the wet well.  It includes 30' of 4" pipe, a 90 deg elbow, a check valve and a </t>
  </si>
  <si>
    <t>1000' of 6" pipe, two 45 deg elbows and two gate valves.  The total friction for</t>
  </si>
  <si>
    <t>Pipe Segment 1</t>
  </si>
  <si>
    <t>Pipe Segment 2</t>
  </si>
  <si>
    <t>Total Friction Losses Segment 1</t>
  </si>
  <si>
    <t>Total Friction Losses Segment 2</t>
  </si>
  <si>
    <t>Pipe Segment 3</t>
  </si>
  <si>
    <t>Total Friction Losses Segment 3</t>
  </si>
  <si>
    <t>The example included is for a submersible sewage pump.  Pipe segment 1 runs</t>
  </si>
  <si>
    <t>gate valve.  Segment 2 runs from the valve box to a gravity main.  It includes</t>
  </si>
  <si>
    <t>Segment 1 is 13.7' and the total for Segment 2 is 41.5'.  The combined losses for</t>
  </si>
  <si>
    <t>both segments is 55.2'.</t>
  </si>
  <si>
    <t xml:space="preserve">to three pipe segments.  The Hazen &amp; Williams equation and C values are </t>
  </si>
  <si>
    <t>segments.  The calculated results will appear below.  Click on the Fitting</t>
  </si>
  <si>
    <t>Joe Evans, Ph.D  12/26/12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</si>
</sst>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2" borderId="1" xfId="0" applyFill="1" applyBorder="1"/>
    <xf numFmtId="0" fontId="3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164" fontId="2" fillId="0" borderId="0" xfId="0" applyNumberFormat="1" applyFont="1"/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/>
    <xf numFmtId="164" fontId="4" fillId="0" borderId="0" xfId="0" applyNumberFormat="1" applyFont="1"/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0</xdr:row>
      <xdr:rowOff>47625</xdr:rowOff>
    </xdr:from>
    <xdr:to>
      <xdr:col>5</xdr:col>
      <xdr:colOff>553316</xdr:colOff>
      <xdr:row>2</xdr:row>
      <xdr:rowOff>174422</xdr:rowOff>
    </xdr:to>
    <xdr:pic>
      <xdr:nvPicPr>
        <xdr:cNvPr id="2" name="Picture 1" descr="Pumptech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8050" y="47625"/>
          <a:ext cx="1963016" cy="612572"/>
        </a:xfrm>
        <a:prstGeom prst="rect">
          <a:avLst/>
        </a:prstGeom>
        <a:noFill/>
        <a:ln w="9525" algn="in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0</xdr:row>
      <xdr:rowOff>38100</xdr:rowOff>
    </xdr:from>
    <xdr:to>
      <xdr:col>13</xdr:col>
      <xdr:colOff>48491</xdr:colOff>
      <xdr:row>2</xdr:row>
      <xdr:rowOff>164897</xdr:rowOff>
    </xdr:to>
    <xdr:pic>
      <xdr:nvPicPr>
        <xdr:cNvPr id="2" name="Picture 1" descr="Pumptech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05200" y="38100"/>
          <a:ext cx="1963016" cy="612572"/>
        </a:xfrm>
        <a:prstGeom prst="rect">
          <a:avLst/>
        </a:prstGeom>
        <a:noFill/>
        <a:ln w="9525" algn="in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2"/>
  <sheetViews>
    <sheetView tabSelected="1" workbookViewId="0">
      <selection activeCell="B8" sqref="B8"/>
    </sheetView>
  </sheetViews>
  <sheetFormatPr defaultRowHeight="15"/>
  <cols>
    <col min="1" max="1" width="28.7109375" customWidth="1"/>
    <col min="5" max="5" width="24.7109375" customWidth="1"/>
    <col min="6" max="8" width="12.7109375" customWidth="1"/>
  </cols>
  <sheetData>
    <row r="1" spans="1:13" ht="23.25">
      <c r="A1" s="2" t="s">
        <v>74</v>
      </c>
    </row>
    <row r="2" spans="1:13">
      <c r="A2" t="s">
        <v>116</v>
      </c>
    </row>
    <row r="4" spans="1:13">
      <c r="A4" s="4" t="s">
        <v>38</v>
      </c>
      <c r="E4" s="16" t="s">
        <v>5</v>
      </c>
      <c r="F4" s="16" t="s">
        <v>6</v>
      </c>
      <c r="G4" s="16" t="s">
        <v>7</v>
      </c>
      <c r="H4" s="16" t="s">
        <v>8</v>
      </c>
      <c r="I4" s="4"/>
    </row>
    <row r="5" spans="1:13">
      <c r="A5" t="s">
        <v>1</v>
      </c>
      <c r="E5" t="s">
        <v>20</v>
      </c>
      <c r="F5" s="5" t="s">
        <v>11</v>
      </c>
      <c r="G5" s="5">
        <v>130</v>
      </c>
      <c r="H5" s="5">
        <v>100</v>
      </c>
    </row>
    <row r="6" spans="1:13">
      <c r="E6" t="s">
        <v>21</v>
      </c>
      <c r="F6" s="5" t="s">
        <v>22</v>
      </c>
      <c r="G6" s="5"/>
      <c r="H6" s="5"/>
    </row>
    <row r="7" spans="1:13">
      <c r="A7" s="4" t="s">
        <v>104</v>
      </c>
      <c r="E7" t="s">
        <v>23</v>
      </c>
      <c r="F7" s="5" t="s">
        <v>24</v>
      </c>
      <c r="G7" s="5"/>
      <c r="H7" s="5"/>
    </row>
    <row r="8" spans="1:13">
      <c r="A8" t="s">
        <v>77</v>
      </c>
      <c r="B8" s="3">
        <v>550</v>
      </c>
      <c r="E8" t="s">
        <v>25</v>
      </c>
      <c r="F8" s="5" t="s">
        <v>26</v>
      </c>
      <c r="G8" s="5"/>
      <c r="H8" s="5"/>
      <c r="I8" s="1"/>
    </row>
    <row r="9" spans="1:13">
      <c r="A9" t="s">
        <v>2</v>
      </c>
      <c r="B9" s="3">
        <v>4</v>
      </c>
      <c r="E9" t="s">
        <v>27</v>
      </c>
      <c r="F9" s="5" t="s">
        <v>28</v>
      </c>
      <c r="G9" s="5"/>
      <c r="H9" s="5"/>
      <c r="I9" s="1"/>
    </row>
    <row r="10" spans="1:13">
      <c r="A10" t="s">
        <v>3</v>
      </c>
      <c r="B10" s="3">
        <v>30</v>
      </c>
      <c r="E10" t="s">
        <v>10</v>
      </c>
      <c r="F10" s="6" t="s">
        <v>16</v>
      </c>
      <c r="G10" s="7">
        <v>130</v>
      </c>
      <c r="H10" s="7">
        <v>100</v>
      </c>
    </row>
    <row r="11" spans="1:13">
      <c r="A11" t="s">
        <v>83</v>
      </c>
      <c r="B11" s="3">
        <v>130</v>
      </c>
      <c r="E11" t="s">
        <v>29</v>
      </c>
      <c r="F11" s="5" t="s">
        <v>11</v>
      </c>
      <c r="G11" s="5">
        <v>130</v>
      </c>
      <c r="H11" s="5">
        <v>100</v>
      </c>
    </row>
    <row r="12" spans="1:13">
      <c r="C12" s="1"/>
      <c r="D12" s="1"/>
      <c r="E12" t="s">
        <v>19</v>
      </c>
      <c r="F12" s="5"/>
      <c r="G12" s="7">
        <v>60</v>
      </c>
      <c r="H12" s="7">
        <v>60</v>
      </c>
      <c r="J12" s="1"/>
      <c r="K12" s="1"/>
      <c r="L12" s="1"/>
      <c r="M12" s="1"/>
    </row>
    <row r="13" spans="1:13">
      <c r="A13" s="4" t="s">
        <v>82</v>
      </c>
      <c r="C13" s="1"/>
      <c r="D13" s="1"/>
      <c r="E13" t="s">
        <v>30</v>
      </c>
      <c r="F13" s="5" t="s">
        <v>15</v>
      </c>
      <c r="G13" s="5">
        <v>148</v>
      </c>
      <c r="H13" s="5">
        <v>140</v>
      </c>
      <c r="J13" s="1"/>
      <c r="K13" s="1"/>
      <c r="L13" s="1"/>
      <c r="M13" s="1"/>
    </row>
    <row r="14" spans="1:13">
      <c r="A14" t="s">
        <v>78</v>
      </c>
      <c r="B14" s="1">
        <f>(B8*0.4085)/(B9*B9)</f>
        <v>14.042187499999999</v>
      </c>
      <c r="E14" t="s">
        <v>31</v>
      </c>
      <c r="F14" s="5" t="s">
        <v>32</v>
      </c>
      <c r="G14" s="5"/>
      <c r="H14" s="5"/>
    </row>
    <row r="15" spans="1:13">
      <c r="A15" t="s">
        <v>79</v>
      </c>
      <c r="B15" s="1">
        <f>(B14*B14)/64.4</f>
        <v>3.0618482885893816</v>
      </c>
      <c r="E15" s="1" t="s">
        <v>13</v>
      </c>
      <c r="F15" s="6" t="s">
        <v>17</v>
      </c>
      <c r="G15" s="7">
        <v>140</v>
      </c>
      <c r="H15" s="7">
        <v>130</v>
      </c>
    </row>
    <row r="16" spans="1:13">
      <c r="A16" t="s">
        <v>80</v>
      </c>
      <c r="B16" s="1">
        <f>(0.2083*((100/B11)^1.852)*(B8^1.852))/B9^4.8655</f>
        <v>17.926478913873012</v>
      </c>
      <c r="E16" s="1" t="s">
        <v>33</v>
      </c>
      <c r="F16" s="6" t="s">
        <v>34</v>
      </c>
      <c r="G16" s="7"/>
      <c r="H16" s="7"/>
    </row>
    <row r="17" spans="1:8">
      <c r="A17" t="s">
        <v>4</v>
      </c>
      <c r="B17" s="1">
        <f>(B10/100)*B16</f>
        <v>5.3779436741619033</v>
      </c>
      <c r="E17" s="1" t="s">
        <v>9</v>
      </c>
      <c r="F17" s="5" t="s">
        <v>18</v>
      </c>
      <c r="G17" s="7">
        <v>120</v>
      </c>
      <c r="H17" s="7">
        <v>100</v>
      </c>
    </row>
    <row r="18" spans="1:8">
      <c r="A18" t="s">
        <v>81</v>
      </c>
      <c r="B18" s="1">
        <f>('Fitting Calcs'!Q21)</f>
        <v>46.38</v>
      </c>
      <c r="E18" t="s">
        <v>35</v>
      </c>
      <c r="F18" s="5">
        <v>140</v>
      </c>
      <c r="G18" s="5"/>
      <c r="H18" s="5"/>
    </row>
    <row r="19" spans="1:8">
      <c r="A19" t="s">
        <v>37</v>
      </c>
      <c r="B19" s="1">
        <f>(B18/100)*B16</f>
        <v>8.3143009202543041</v>
      </c>
      <c r="E19" t="s">
        <v>12</v>
      </c>
      <c r="F19" s="5" t="s">
        <v>14</v>
      </c>
      <c r="G19" s="5">
        <v>155</v>
      </c>
      <c r="H19" s="5">
        <v>150</v>
      </c>
    </row>
    <row r="20" spans="1:8">
      <c r="A20" s="4" t="s">
        <v>106</v>
      </c>
      <c r="B20" s="1">
        <f>B17+B19</f>
        <v>13.692244594416207</v>
      </c>
      <c r="E20" s="1" t="s">
        <v>36</v>
      </c>
      <c r="F20" s="5">
        <v>140</v>
      </c>
      <c r="G20" s="5"/>
      <c r="H20" s="5"/>
    </row>
    <row r="21" spans="1:8">
      <c r="B21" s="8"/>
    </row>
    <row r="22" spans="1:8">
      <c r="A22" s="4" t="s">
        <v>105</v>
      </c>
      <c r="E22" s="4" t="s">
        <v>87</v>
      </c>
    </row>
    <row r="23" spans="1:8">
      <c r="A23" t="s">
        <v>77</v>
      </c>
      <c r="B23" s="3">
        <v>550</v>
      </c>
      <c r="E23" t="s">
        <v>88</v>
      </c>
    </row>
    <row r="24" spans="1:8">
      <c r="A24" t="s">
        <v>2</v>
      </c>
      <c r="B24" s="3">
        <v>6</v>
      </c>
      <c r="E24" t="s">
        <v>114</v>
      </c>
    </row>
    <row r="25" spans="1:8">
      <c r="A25" t="s">
        <v>3</v>
      </c>
      <c r="B25" s="3">
        <v>1000</v>
      </c>
      <c r="E25" t="s">
        <v>89</v>
      </c>
    </row>
    <row r="26" spans="1:8">
      <c r="A26" t="s">
        <v>83</v>
      </c>
      <c r="B26" s="3">
        <v>100</v>
      </c>
      <c r="E26" s="14" t="s">
        <v>90</v>
      </c>
    </row>
    <row r="28" spans="1:8">
      <c r="A28" s="4" t="s">
        <v>82</v>
      </c>
      <c r="E28" t="s">
        <v>91</v>
      </c>
    </row>
    <row r="29" spans="1:8">
      <c r="A29" t="s">
        <v>78</v>
      </c>
      <c r="B29" s="1">
        <f>(B23*0.4085)/(B24*B24)</f>
        <v>6.2409722222222221</v>
      </c>
      <c r="E29" t="s">
        <v>115</v>
      </c>
    </row>
    <row r="30" spans="1:8">
      <c r="A30" t="s">
        <v>79</v>
      </c>
      <c r="B30" s="1">
        <f>(B29*B29)/64.4</f>
        <v>0.60480953848679153</v>
      </c>
      <c r="E30" t="s">
        <v>93</v>
      </c>
    </row>
    <row r="31" spans="1:8">
      <c r="A31" t="s">
        <v>80</v>
      </c>
      <c r="B31" s="1">
        <f>(0.2083*((100/B26)^1.852)*(B23^1.852))/B24^4.8655</f>
        <v>4.0527149843574328</v>
      </c>
      <c r="E31" t="s">
        <v>92</v>
      </c>
    </row>
    <row r="32" spans="1:8">
      <c r="A32" t="s">
        <v>4</v>
      </c>
      <c r="B32" s="1">
        <f>(B25/100)*B31</f>
        <v>40.527149843574328</v>
      </c>
      <c r="E32" t="s">
        <v>94</v>
      </c>
    </row>
    <row r="33" spans="1:5">
      <c r="A33" t="s">
        <v>81</v>
      </c>
      <c r="B33" s="1">
        <f>('Fitting Calcs'!Q48)</f>
        <v>24.28</v>
      </c>
      <c r="E33" t="s">
        <v>95</v>
      </c>
    </row>
    <row r="34" spans="1:5">
      <c r="A34" t="s">
        <v>37</v>
      </c>
      <c r="B34" s="1">
        <f>(B33/100)*B31</f>
        <v>0.98399919820198478</v>
      </c>
      <c r="E34" t="s">
        <v>96</v>
      </c>
    </row>
    <row r="35" spans="1:5">
      <c r="A35" s="4" t="s">
        <v>107</v>
      </c>
      <c r="B35" s="1">
        <f>B32+B34</f>
        <v>41.511149041776314</v>
      </c>
      <c r="E35" t="s">
        <v>97</v>
      </c>
    </row>
    <row r="36" spans="1:5">
      <c r="A36" s="4" t="s">
        <v>84</v>
      </c>
      <c r="B36" s="1">
        <f>B20+B35</f>
        <v>55.203393636192523</v>
      </c>
      <c r="E36" t="s">
        <v>98</v>
      </c>
    </row>
    <row r="37" spans="1:5">
      <c r="E37" t="s">
        <v>99</v>
      </c>
    </row>
    <row r="38" spans="1:5">
      <c r="A38" s="4" t="s">
        <v>108</v>
      </c>
      <c r="E38" t="s">
        <v>100</v>
      </c>
    </row>
    <row r="39" spans="1:5">
      <c r="A39" t="s">
        <v>77</v>
      </c>
      <c r="B39" s="3"/>
    </row>
    <row r="40" spans="1:5">
      <c r="A40" t="s">
        <v>2</v>
      </c>
      <c r="B40" s="3"/>
      <c r="E40" t="s">
        <v>110</v>
      </c>
    </row>
    <row r="41" spans="1:5">
      <c r="A41" t="s">
        <v>3</v>
      </c>
      <c r="B41" s="3"/>
      <c r="E41" t="s">
        <v>101</v>
      </c>
    </row>
    <row r="42" spans="1:5">
      <c r="A42" t="s">
        <v>83</v>
      </c>
      <c r="B42" s="3"/>
      <c r="E42" t="s">
        <v>102</v>
      </c>
    </row>
    <row r="43" spans="1:5">
      <c r="E43" t="s">
        <v>111</v>
      </c>
    </row>
    <row r="44" spans="1:5">
      <c r="A44" s="4" t="s">
        <v>82</v>
      </c>
      <c r="E44" t="s">
        <v>103</v>
      </c>
    </row>
    <row r="45" spans="1:5">
      <c r="A45" t="s">
        <v>78</v>
      </c>
      <c r="B45" s="1" t="e">
        <f>(B39*0.4085)/(B40*B40)</f>
        <v>#DIV/0!</v>
      </c>
      <c r="E45" t="s">
        <v>112</v>
      </c>
    </row>
    <row r="46" spans="1:5">
      <c r="A46" t="s">
        <v>79</v>
      </c>
      <c r="B46" s="1" t="e">
        <f>(B45*B45)/64.4</f>
        <v>#DIV/0!</v>
      </c>
      <c r="E46" t="s">
        <v>113</v>
      </c>
    </row>
    <row r="47" spans="1:5">
      <c r="A47" t="s">
        <v>80</v>
      </c>
      <c r="B47" s="1" t="e">
        <f>(0.2083*((100/B42)^1.852)*(B39^1.852))/B40^4.8655</f>
        <v>#DIV/0!</v>
      </c>
    </row>
    <row r="48" spans="1:5">
      <c r="A48" t="s">
        <v>4</v>
      </c>
      <c r="B48" s="1" t="e">
        <f>(B41/100)*B47</f>
        <v>#DIV/0!</v>
      </c>
    </row>
    <row r="49" spans="1:2">
      <c r="A49" t="s">
        <v>81</v>
      </c>
      <c r="B49" s="1">
        <f>('Fitting Calcs'!Q75)</f>
        <v>0</v>
      </c>
    </row>
    <row r="50" spans="1:2">
      <c r="A50" t="s">
        <v>37</v>
      </c>
      <c r="B50" s="1" t="e">
        <f>(B49/100)*B47</f>
        <v>#DIV/0!</v>
      </c>
    </row>
    <row r="51" spans="1:2">
      <c r="A51" s="4" t="s">
        <v>109</v>
      </c>
      <c r="B51" s="1" t="e">
        <f>B48+B50</f>
        <v>#DIV/0!</v>
      </c>
    </row>
    <row r="52" spans="1:2">
      <c r="A52" s="4" t="s">
        <v>85</v>
      </c>
      <c r="B52" s="1" t="e">
        <f>B20+B35+B51</f>
        <v>#DIV/0!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87"/>
  <sheetViews>
    <sheetView workbookViewId="0"/>
  </sheetViews>
  <sheetFormatPr defaultRowHeight="15"/>
  <cols>
    <col min="1" max="1" width="24.7109375" customWidth="1"/>
    <col min="2" max="15" width="4.7109375" style="5" customWidth="1"/>
    <col min="16" max="16" width="4.7109375" customWidth="1"/>
  </cols>
  <sheetData>
    <row r="1" spans="1:17" ht="23.25">
      <c r="A1" s="2" t="s">
        <v>74</v>
      </c>
    </row>
    <row r="2" spans="1:17">
      <c r="A2" t="s">
        <v>0</v>
      </c>
      <c r="Q2" s="14"/>
    </row>
    <row r="4" spans="1:17">
      <c r="A4" s="4" t="s">
        <v>39</v>
      </c>
    </row>
    <row r="5" spans="1:17">
      <c r="A5" t="s">
        <v>86</v>
      </c>
    </row>
    <row r="7" spans="1:17">
      <c r="A7" s="4" t="s">
        <v>104</v>
      </c>
    </row>
    <row r="8" spans="1:17">
      <c r="A8" s="10" t="s">
        <v>75</v>
      </c>
      <c r="B8" s="5" t="s">
        <v>40</v>
      </c>
      <c r="C8" s="5" t="s">
        <v>41</v>
      </c>
      <c r="D8" s="5" t="s">
        <v>42</v>
      </c>
      <c r="E8" s="5" t="s">
        <v>43</v>
      </c>
      <c r="F8" s="5" t="s">
        <v>44</v>
      </c>
      <c r="G8" s="5" t="s">
        <v>45</v>
      </c>
      <c r="H8" s="5" t="s">
        <v>46</v>
      </c>
      <c r="I8" s="5" t="s">
        <v>47</v>
      </c>
      <c r="J8" s="5" t="s">
        <v>48</v>
      </c>
      <c r="K8" s="5" t="s">
        <v>49</v>
      </c>
      <c r="L8" s="5" t="s">
        <v>50</v>
      </c>
      <c r="M8" s="5" t="s">
        <v>63</v>
      </c>
      <c r="N8" s="5" t="s">
        <v>51</v>
      </c>
      <c r="O8" s="5" t="s">
        <v>52</v>
      </c>
      <c r="Q8" s="10"/>
    </row>
    <row r="9" spans="1:17">
      <c r="A9" t="s">
        <v>53</v>
      </c>
      <c r="B9" s="9"/>
      <c r="C9" s="9"/>
      <c r="D9" s="9"/>
      <c r="E9" s="9">
        <v>1</v>
      </c>
      <c r="F9" s="9"/>
      <c r="G9" s="9"/>
      <c r="H9" s="9"/>
      <c r="I9" s="9"/>
      <c r="J9" s="9"/>
      <c r="K9" s="9"/>
      <c r="L9" s="9"/>
      <c r="M9" s="9"/>
      <c r="N9" s="9"/>
      <c r="O9" s="9"/>
      <c r="Q9" s="11">
        <f>SUM(B22:O22)</f>
        <v>10.1</v>
      </c>
    </row>
    <row r="10" spans="1:17">
      <c r="A10" t="s">
        <v>54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Q10" s="11">
        <f t="shared" ref="Q10:Q18" si="0">SUM(B23:O23)</f>
        <v>0</v>
      </c>
    </row>
    <row r="11" spans="1:17">
      <c r="A11" t="s">
        <v>55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Q11" s="11">
        <f t="shared" si="0"/>
        <v>0</v>
      </c>
    </row>
    <row r="12" spans="1:17">
      <c r="A12" t="s">
        <v>59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Q12" s="11">
        <f t="shared" si="0"/>
        <v>0</v>
      </c>
    </row>
    <row r="13" spans="1:17">
      <c r="A13" t="s">
        <v>58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Q13" s="11">
        <f t="shared" si="0"/>
        <v>0</v>
      </c>
    </row>
    <row r="14" spans="1:17">
      <c r="A14" t="s">
        <v>56</v>
      </c>
      <c r="B14" s="9"/>
      <c r="C14" s="9"/>
      <c r="D14" s="9"/>
      <c r="E14" s="9">
        <v>1</v>
      </c>
      <c r="F14" s="9"/>
      <c r="G14" s="9"/>
      <c r="H14" s="9"/>
      <c r="I14" s="9"/>
      <c r="J14" s="9"/>
      <c r="K14" s="9"/>
      <c r="L14" s="9"/>
      <c r="M14" s="9"/>
      <c r="N14" s="9"/>
      <c r="O14" s="9"/>
      <c r="Q14" s="11">
        <f t="shared" si="0"/>
        <v>2.68</v>
      </c>
    </row>
    <row r="15" spans="1:17">
      <c r="A15" t="s">
        <v>60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Q15" s="11">
        <f t="shared" si="0"/>
        <v>0</v>
      </c>
    </row>
    <row r="16" spans="1:17">
      <c r="A16" t="s">
        <v>61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Q16" s="11">
        <f t="shared" si="0"/>
        <v>0</v>
      </c>
    </row>
    <row r="17" spans="1:18">
      <c r="A17" t="s">
        <v>62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Q17" s="11">
        <f t="shared" si="0"/>
        <v>0</v>
      </c>
    </row>
    <row r="18" spans="1:18">
      <c r="A18" t="s">
        <v>57</v>
      </c>
      <c r="B18" s="9"/>
      <c r="C18" s="9"/>
      <c r="D18" s="9"/>
      <c r="E18" s="9">
        <v>1</v>
      </c>
      <c r="F18" s="9"/>
      <c r="G18" s="9"/>
      <c r="H18" s="9"/>
      <c r="I18" s="9"/>
      <c r="J18" s="9"/>
      <c r="K18" s="9"/>
      <c r="L18" s="9"/>
      <c r="M18" s="9"/>
      <c r="N18" s="9"/>
      <c r="O18" s="9"/>
      <c r="Q18" s="11">
        <f t="shared" si="0"/>
        <v>33.6</v>
      </c>
    </row>
    <row r="19" spans="1:18">
      <c r="A19" s="13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Q19" s="15"/>
    </row>
    <row r="20" spans="1:18">
      <c r="A20" s="13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Q20" s="15"/>
    </row>
    <row r="21" spans="1:18">
      <c r="Q21" s="11">
        <f>SUM(Q9:Q20)</f>
        <v>46.38</v>
      </c>
      <c r="R21" t="s">
        <v>76</v>
      </c>
    </row>
    <row r="22" spans="1:18" hidden="1">
      <c r="A22" t="s">
        <v>72</v>
      </c>
      <c r="B22" s="5">
        <f>B9*5.17</f>
        <v>0</v>
      </c>
      <c r="C22" s="5">
        <f>C9*6.17</f>
        <v>0</v>
      </c>
      <c r="D22" s="5">
        <f>D9*7.67</f>
        <v>0</v>
      </c>
      <c r="E22" s="5">
        <f>E9*10.1</f>
        <v>10.1</v>
      </c>
      <c r="F22" s="5">
        <f>F9*12.6</f>
        <v>0</v>
      </c>
      <c r="G22" s="5">
        <f>G9*15.2</f>
        <v>0</v>
      </c>
      <c r="H22" s="5">
        <f>H9*20</f>
        <v>0</v>
      </c>
      <c r="I22" s="5">
        <f>I9*25.1</f>
        <v>0</v>
      </c>
      <c r="J22" s="5">
        <f>J9*29.8</f>
        <v>0</v>
      </c>
      <c r="K22" s="5">
        <f>K9*32.8</f>
        <v>0</v>
      </c>
      <c r="L22" s="5">
        <f>L9*37.5</f>
        <v>0</v>
      </c>
      <c r="M22" s="5">
        <f>M9*42.2</f>
        <v>0</v>
      </c>
      <c r="N22" s="5">
        <f>N9*47</f>
        <v>0</v>
      </c>
      <c r="O22" s="5">
        <f>O9*56.6</f>
        <v>0</v>
      </c>
    </row>
    <row r="23" spans="1:18" hidden="1">
      <c r="A23" s="12" t="s">
        <v>73</v>
      </c>
      <c r="B23" s="5">
        <f>B10*2.76</f>
        <v>0</v>
      </c>
      <c r="C23" s="5">
        <f>C10*3.29</f>
        <v>0</v>
      </c>
      <c r="D23" s="5">
        <f>D10*4.1</f>
        <v>0</v>
      </c>
      <c r="E23" s="5">
        <f>E10*5.37</f>
        <v>0</v>
      </c>
      <c r="F23" s="5">
        <f>F10*6.73</f>
        <v>0</v>
      </c>
      <c r="G23" s="5">
        <f>G10*8.1</f>
        <v>0</v>
      </c>
      <c r="H23" s="5">
        <f>H10*10.6</f>
        <v>0</v>
      </c>
      <c r="I23" s="5">
        <f>I10*13.4</f>
        <v>0</v>
      </c>
      <c r="J23" s="5">
        <f>J10*15.9</f>
        <v>0</v>
      </c>
      <c r="K23" s="5">
        <f>K10*17.5</f>
        <v>0</v>
      </c>
      <c r="L23" s="5">
        <f>L10*20</f>
        <v>0</v>
      </c>
      <c r="M23" s="5">
        <f>M10*22.5</f>
        <v>0</v>
      </c>
      <c r="N23" s="5">
        <f>N10*25.1</f>
        <v>0</v>
      </c>
      <c r="O23" s="5">
        <f>O10*30.2</f>
        <v>0</v>
      </c>
    </row>
    <row r="24" spans="1:18" hidden="1">
      <c r="A24">
        <v>45</v>
      </c>
      <c r="B24" s="5">
        <f>B11*2.76</f>
        <v>0</v>
      </c>
      <c r="C24" s="5">
        <f>C11*3.29</f>
        <v>0</v>
      </c>
      <c r="D24" s="5">
        <f>D11*4.1</f>
        <v>0</v>
      </c>
      <c r="E24" s="5">
        <f>E11*5.37</f>
        <v>0</v>
      </c>
      <c r="F24" s="5">
        <f>F11*6.73</f>
        <v>0</v>
      </c>
      <c r="G24" s="5">
        <f>G11*8.1</f>
        <v>0</v>
      </c>
      <c r="H24" s="5">
        <f>H11*10.6</f>
        <v>0</v>
      </c>
      <c r="I24" s="5">
        <f>I11*13.4</f>
        <v>0</v>
      </c>
      <c r="J24" s="5">
        <f>J11*15.9</f>
        <v>0</v>
      </c>
      <c r="K24" s="5">
        <f>K11*17.5</f>
        <v>0</v>
      </c>
      <c r="L24" s="5">
        <f>L11*20</f>
        <v>0</v>
      </c>
      <c r="M24" s="5">
        <f>M11*22.5</f>
        <v>0</v>
      </c>
      <c r="N24" s="5">
        <f>N11*25.1</f>
        <v>0</v>
      </c>
      <c r="O24" s="5">
        <f>O11*30.2</f>
        <v>0</v>
      </c>
    </row>
    <row r="25" spans="1:18" hidden="1">
      <c r="A25" s="12" t="s">
        <v>68</v>
      </c>
      <c r="B25" s="5">
        <f>B12*10.3</f>
        <v>0</v>
      </c>
      <c r="C25" s="5">
        <f>C12*12.3</f>
        <v>0</v>
      </c>
      <c r="D25" s="5">
        <f>D12*15.3</f>
        <v>0</v>
      </c>
      <c r="E25" s="5">
        <f>E12*20.1</f>
        <v>0</v>
      </c>
      <c r="F25" s="5">
        <f>F12*25.2</f>
        <v>0</v>
      </c>
      <c r="G25" s="5">
        <f>G12*30.3</f>
        <v>0</v>
      </c>
      <c r="H25" s="5">
        <f>H12*39.9</f>
        <v>0</v>
      </c>
      <c r="I25" s="5">
        <f>I12*50.1</f>
        <v>0</v>
      </c>
      <c r="J25" s="5">
        <f>J12*59.7</f>
        <v>0</v>
      </c>
      <c r="K25" s="5">
        <f>K12*65.6</f>
        <v>0</v>
      </c>
      <c r="L25" s="5">
        <f>L12*75</f>
        <v>0</v>
      </c>
      <c r="M25" s="5">
        <f>M12*84.4</f>
        <v>0</v>
      </c>
      <c r="N25" s="5">
        <f>N12*94.1</f>
        <v>0</v>
      </c>
      <c r="O25" s="5">
        <f>O12*113</f>
        <v>0</v>
      </c>
    </row>
    <row r="26" spans="1:18" hidden="1">
      <c r="A26" s="12" t="s">
        <v>69</v>
      </c>
      <c r="B26" s="5">
        <f>B13*3.45</f>
        <v>0</v>
      </c>
      <c r="C26" s="5">
        <f>C13*4.12</f>
        <v>0</v>
      </c>
      <c r="D26" s="5">
        <f>D13*5.11</f>
        <v>0</v>
      </c>
      <c r="E26" s="5">
        <f>E13*6.71</f>
        <v>0</v>
      </c>
      <c r="F26" s="5">
        <f>F13*8.41</f>
        <v>0</v>
      </c>
      <c r="G26" s="5">
        <f>G13*10.1</f>
        <v>0</v>
      </c>
      <c r="H26" s="5">
        <f>H13*13.3</f>
        <v>0</v>
      </c>
      <c r="I26" s="5">
        <f>I13*16.7</f>
        <v>0</v>
      </c>
      <c r="J26" s="5">
        <f>J13*19.9</f>
        <v>0</v>
      </c>
      <c r="K26" s="5">
        <f>K13*21.8</f>
        <v>0</v>
      </c>
      <c r="L26" s="5">
        <f>L13*25</f>
        <v>0</v>
      </c>
      <c r="M26" s="5">
        <f>M13*28.1</f>
        <v>0</v>
      </c>
      <c r="N26" s="5">
        <f>N13*31.4</f>
        <v>0</v>
      </c>
      <c r="O26" s="5">
        <f>O13*37.7</f>
        <v>0</v>
      </c>
    </row>
    <row r="27" spans="1:18" hidden="1">
      <c r="A27" s="12" t="s">
        <v>64</v>
      </c>
      <c r="B27" s="5">
        <f>B14*1.38</f>
        <v>0</v>
      </c>
      <c r="C27" s="5">
        <f>C14*1.65</f>
        <v>0</v>
      </c>
      <c r="D27" s="5">
        <f>D14*2.04</f>
        <v>0</v>
      </c>
      <c r="E27" s="5">
        <f>E14*2.68</f>
        <v>2.68</v>
      </c>
      <c r="F27" s="5">
        <f>F14*3.36</f>
        <v>0</v>
      </c>
      <c r="G27" s="5">
        <f>G14*4.04</f>
        <v>0</v>
      </c>
      <c r="H27" s="5">
        <f>H14*5.32</f>
        <v>0</v>
      </c>
      <c r="I27" s="5">
        <f>I14*6.68</f>
        <v>0</v>
      </c>
      <c r="J27" s="5">
        <f>J14*7.96</f>
        <v>0</v>
      </c>
      <c r="K27" s="5">
        <f>K14*8.75</f>
        <v>0</v>
      </c>
      <c r="L27" s="5">
        <f>L14*10</f>
        <v>0</v>
      </c>
      <c r="M27" s="5">
        <f>M14*11</f>
        <v>0</v>
      </c>
      <c r="N27" s="5">
        <f>N14*12.5</f>
        <v>0</v>
      </c>
      <c r="O27" s="5">
        <f>O14*15.1</f>
        <v>0</v>
      </c>
    </row>
    <row r="28" spans="1:18" hidden="1">
      <c r="A28" s="12" t="s">
        <v>65</v>
      </c>
      <c r="B28" s="5">
        <f>B15*58.6</f>
        <v>0</v>
      </c>
      <c r="C28" s="5">
        <f>C15*70</f>
        <v>0</v>
      </c>
      <c r="D28" s="5">
        <f>D15*86.9</f>
        <v>0</v>
      </c>
      <c r="E28" s="5">
        <f>E15*114</f>
        <v>0</v>
      </c>
      <c r="F28" s="5">
        <f>F15*143</f>
        <v>0</v>
      </c>
      <c r="G28" s="5">
        <f>G15*172</f>
        <v>0</v>
      </c>
      <c r="H28" s="5">
        <f>H15*226</f>
        <v>0</v>
      </c>
      <c r="I28" s="5">
        <f>I15*284</f>
        <v>0</v>
      </c>
      <c r="J28" s="5">
        <f>J15*338</f>
        <v>0</v>
      </c>
      <c r="K28" s="5">
        <f>K15*372</f>
        <v>0</v>
      </c>
      <c r="L28" s="5">
        <f>L15*425</f>
        <v>0</v>
      </c>
      <c r="M28" s="5">
        <f>M15*478</f>
        <v>0</v>
      </c>
      <c r="N28" s="5">
        <f>N15*533</f>
        <v>0</v>
      </c>
      <c r="O28" s="5">
        <f>O15*541</f>
        <v>0</v>
      </c>
    </row>
    <row r="29" spans="1:18" hidden="1">
      <c r="A29" s="12" t="s">
        <v>66</v>
      </c>
      <c r="B29" s="5">
        <f>B16*7.75</f>
        <v>0</v>
      </c>
      <c r="C29" s="5">
        <f>C16*9.26</f>
        <v>0</v>
      </c>
      <c r="D29" s="5">
        <f>D16*11.5</f>
        <v>0</v>
      </c>
      <c r="E29" s="5">
        <f>E16*15.1</f>
        <v>0</v>
      </c>
      <c r="F29" s="5">
        <f>F16*18.9</f>
        <v>0</v>
      </c>
      <c r="G29" s="5">
        <f>G16*22.7</f>
        <v>0</v>
      </c>
      <c r="H29" s="5">
        <f>H16*29.9</f>
        <v>0</v>
      </c>
      <c r="I29" s="5">
        <f>I16*29.2</f>
        <v>0</v>
      </c>
      <c r="J29" s="5">
        <f>J16*34.8</f>
        <v>0</v>
      </c>
      <c r="K29" s="5">
        <f>K16*38.3</f>
        <v>0</v>
      </c>
      <c r="L29" s="5">
        <f>L16*31.3</f>
        <v>0</v>
      </c>
      <c r="M29" s="5">
        <f>M16*35.2</f>
        <v>0</v>
      </c>
      <c r="N29" s="5">
        <f>N16*39.2</f>
        <v>0</v>
      </c>
      <c r="O29" s="5">
        <f>O16*47.1</f>
        <v>0</v>
      </c>
    </row>
    <row r="30" spans="1:18" hidden="1">
      <c r="A30" s="12" t="s">
        <v>67</v>
      </c>
      <c r="B30" s="5">
        <f>B17*8.61</f>
        <v>0</v>
      </c>
      <c r="C30" s="5">
        <f>C17*10.3</f>
        <v>0</v>
      </c>
      <c r="D30" s="5">
        <f>D17*12.8</f>
        <v>0</v>
      </c>
      <c r="E30" s="5">
        <f>E17*16.8</f>
        <v>0</v>
      </c>
      <c r="F30" s="5">
        <f>F17*21</f>
        <v>0</v>
      </c>
      <c r="G30" s="5">
        <f>G17*25.3</f>
        <v>0</v>
      </c>
      <c r="H30" s="5">
        <f>H17*33.3</f>
        <v>0</v>
      </c>
      <c r="I30" s="5">
        <f>I17*41.8</f>
        <v>0</v>
      </c>
      <c r="J30" s="5">
        <f>J17*49.7</f>
        <v>0</v>
      </c>
      <c r="K30" s="5">
        <f>K17*54.7</f>
        <v>0</v>
      </c>
      <c r="L30" s="5">
        <f>L17*62.5</f>
        <v>0</v>
      </c>
      <c r="M30" s="5">
        <f>M17*70.3</f>
        <v>0</v>
      </c>
      <c r="N30" s="5">
        <f>N17*78.4</f>
        <v>0</v>
      </c>
      <c r="O30" s="5">
        <f>O17*94.3</f>
        <v>0</v>
      </c>
    </row>
    <row r="31" spans="1:18" hidden="1">
      <c r="A31" s="12" t="s">
        <v>70</v>
      </c>
      <c r="B31" s="5">
        <f>B18*17.2</f>
        <v>0</v>
      </c>
      <c r="C31" s="5">
        <f>C18*20.6</f>
        <v>0</v>
      </c>
      <c r="D31" s="5">
        <f>D18*25.5</f>
        <v>0</v>
      </c>
      <c r="E31" s="5">
        <f>E18*33.6</f>
        <v>33.6</v>
      </c>
      <c r="F31" s="5">
        <f>F18*42.1</f>
        <v>0</v>
      </c>
      <c r="G31" s="5">
        <f>G18*50.5</f>
        <v>0</v>
      </c>
      <c r="H31" s="5">
        <f>H18*33.3</f>
        <v>0</v>
      </c>
      <c r="I31" s="5">
        <f>I18*41.8</f>
        <v>0</v>
      </c>
      <c r="J31" s="5">
        <f>J18*49.7</f>
        <v>0</v>
      </c>
      <c r="K31" s="5">
        <f>K18*54.7</f>
        <v>0</v>
      </c>
      <c r="L31" s="5">
        <f>L18*62.5</f>
        <v>0</v>
      </c>
      <c r="M31" s="5">
        <f>M18*70.3</f>
        <v>0</v>
      </c>
      <c r="N31" s="5">
        <f>N18*78.6</f>
        <v>0</v>
      </c>
      <c r="O31" s="5">
        <f>O18*94.3</f>
        <v>0</v>
      </c>
    </row>
    <row r="32" spans="1:18" hidden="1">
      <c r="A32" s="12" t="s">
        <v>71</v>
      </c>
      <c r="B32" s="5">
        <f>B19*1</f>
        <v>0</v>
      </c>
      <c r="C32" s="5">
        <f t="shared" ref="C32:O32" si="1">C19*1</f>
        <v>0</v>
      </c>
      <c r="D32" s="5">
        <f t="shared" si="1"/>
        <v>0</v>
      </c>
      <c r="E32" s="5">
        <f t="shared" si="1"/>
        <v>0</v>
      </c>
      <c r="F32" s="5">
        <f t="shared" si="1"/>
        <v>0</v>
      </c>
      <c r="G32" s="5">
        <f t="shared" si="1"/>
        <v>0</v>
      </c>
      <c r="H32" s="5">
        <f t="shared" si="1"/>
        <v>0</v>
      </c>
      <c r="I32" s="5">
        <f t="shared" si="1"/>
        <v>0</v>
      </c>
      <c r="J32" s="5">
        <f t="shared" si="1"/>
        <v>0</v>
      </c>
      <c r="K32" s="5">
        <f t="shared" si="1"/>
        <v>0</v>
      </c>
      <c r="L32" s="5">
        <f t="shared" si="1"/>
        <v>0</v>
      </c>
      <c r="M32" s="5">
        <f t="shared" si="1"/>
        <v>0</v>
      </c>
      <c r="N32" s="5">
        <f t="shared" si="1"/>
        <v>0</v>
      </c>
      <c r="O32" s="5">
        <f t="shared" si="1"/>
        <v>0</v>
      </c>
    </row>
    <row r="33" spans="1:19" hidden="1">
      <c r="B33" s="5">
        <f>B20*1</f>
        <v>0</v>
      </c>
      <c r="C33" s="5">
        <f t="shared" ref="C33:O33" si="2">C20*1</f>
        <v>0</v>
      </c>
      <c r="D33" s="5">
        <f t="shared" si="2"/>
        <v>0</v>
      </c>
      <c r="E33" s="5">
        <f t="shared" si="2"/>
        <v>0</v>
      </c>
      <c r="F33" s="5">
        <f t="shared" si="2"/>
        <v>0</v>
      </c>
      <c r="G33" s="5">
        <f t="shared" si="2"/>
        <v>0</v>
      </c>
      <c r="H33" s="5">
        <f t="shared" si="2"/>
        <v>0</v>
      </c>
      <c r="I33" s="5">
        <f t="shared" si="2"/>
        <v>0</v>
      </c>
      <c r="J33" s="5">
        <f t="shared" si="2"/>
        <v>0</v>
      </c>
      <c r="K33" s="5">
        <f t="shared" si="2"/>
        <v>0</v>
      </c>
      <c r="L33" s="5">
        <f t="shared" si="2"/>
        <v>0</v>
      </c>
      <c r="M33" s="5">
        <f t="shared" si="2"/>
        <v>0</v>
      </c>
      <c r="N33" s="5">
        <f t="shared" si="2"/>
        <v>0</v>
      </c>
      <c r="O33" s="5">
        <f t="shared" si="2"/>
        <v>0</v>
      </c>
    </row>
    <row r="34" spans="1:19">
      <c r="A34" s="4" t="s">
        <v>105</v>
      </c>
    </row>
    <row r="35" spans="1:19">
      <c r="A35" s="10" t="s">
        <v>75</v>
      </c>
      <c r="B35" s="5" t="s">
        <v>40</v>
      </c>
      <c r="C35" s="5" t="s">
        <v>41</v>
      </c>
      <c r="D35" s="5" t="s">
        <v>42</v>
      </c>
      <c r="E35" s="5" t="s">
        <v>43</v>
      </c>
      <c r="F35" s="5" t="s">
        <v>44</v>
      </c>
      <c r="G35" s="5" t="s">
        <v>45</v>
      </c>
      <c r="H35" s="5" t="s">
        <v>46</v>
      </c>
      <c r="I35" s="5" t="s">
        <v>47</v>
      </c>
      <c r="J35" s="5" t="s">
        <v>48</v>
      </c>
      <c r="K35" s="5" t="s">
        <v>49</v>
      </c>
      <c r="L35" s="5" t="s">
        <v>50</v>
      </c>
      <c r="M35" s="5" t="s">
        <v>63</v>
      </c>
      <c r="N35" s="5" t="s">
        <v>51</v>
      </c>
      <c r="O35" s="5" t="s">
        <v>52</v>
      </c>
      <c r="Q35" s="10"/>
    </row>
    <row r="36" spans="1:19">
      <c r="A36" t="s">
        <v>53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Q36" s="11">
        <f>SUM(B49:O49)</f>
        <v>0</v>
      </c>
    </row>
    <row r="37" spans="1:19">
      <c r="A37" t="s">
        <v>54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Q37" s="11">
        <f t="shared" ref="Q37:Q45" si="3">SUM(B50:O50)</f>
        <v>0</v>
      </c>
    </row>
    <row r="38" spans="1:19">
      <c r="A38" t="s">
        <v>55</v>
      </c>
      <c r="B38" s="9"/>
      <c r="C38" s="9"/>
      <c r="D38" s="9"/>
      <c r="E38" s="9"/>
      <c r="F38" s="9"/>
      <c r="G38" s="9">
        <v>2</v>
      </c>
      <c r="H38" s="9"/>
      <c r="I38" s="9"/>
      <c r="J38" s="9"/>
      <c r="K38" s="9"/>
      <c r="L38" s="9"/>
      <c r="M38" s="9"/>
      <c r="N38" s="9"/>
      <c r="O38" s="9"/>
      <c r="Q38" s="11">
        <f t="shared" si="3"/>
        <v>16.2</v>
      </c>
    </row>
    <row r="39" spans="1:19">
      <c r="A39" t="s">
        <v>59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Q39" s="11">
        <f t="shared" si="3"/>
        <v>0</v>
      </c>
    </row>
    <row r="40" spans="1:19">
      <c r="A40" t="s">
        <v>58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Q40" s="11">
        <f t="shared" si="3"/>
        <v>0</v>
      </c>
      <c r="S40" s="14"/>
    </row>
    <row r="41" spans="1:19">
      <c r="A41" t="s">
        <v>56</v>
      </c>
      <c r="B41" s="9"/>
      <c r="C41" s="9"/>
      <c r="D41" s="9"/>
      <c r="E41" s="9"/>
      <c r="F41" s="9"/>
      <c r="G41" s="9">
        <v>2</v>
      </c>
      <c r="H41" s="9"/>
      <c r="I41" s="9"/>
      <c r="J41" s="9"/>
      <c r="K41" s="9"/>
      <c r="L41" s="9"/>
      <c r="M41" s="9"/>
      <c r="N41" s="9"/>
      <c r="O41" s="9"/>
      <c r="Q41" s="11">
        <f t="shared" si="3"/>
        <v>8.08</v>
      </c>
    </row>
    <row r="42" spans="1:19">
      <c r="A42" t="s">
        <v>60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Q42" s="11">
        <f t="shared" si="3"/>
        <v>0</v>
      </c>
    </row>
    <row r="43" spans="1:19">
      <c r="A43" t="s">
        <v>61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Q43" s="11">
        <f t="shared" si="3"/>
        <v>0</v>
      </c>
    </row>
    <row r="44" spans="1:19">
      <c r="A44" t="s">
        <v>62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Q44" s="11">
        <f t="shared" si="3"/>
        <v>0</v>
      </c>
    </row>
    <row r="45" spans="1:19">
      <c r="A45" t="s">
        <v>57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Q45" s="11">
        <f t="shared" si="3"/>
        <v>0</v>
      </c>
    </row>
    <row r="46" spans="1:19">
      <c r="A46" s="13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Q46" s="15"/>
    </row>
    <row r="47" spans="1:19">
      <c r="A47" s="13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Q47" s="15"/>
    </row>
    <row r="48" spans="1:19">
      <c r="Q48" s="11">
        <f>SUM(Q36:Q47)</f>
        <v>24.28</v>
      </c>
      <c r="R48" t="s">
        <v>76</v>
      </c>
    </row>
    <row r="49" spans="1:17" hidden="1">
      <c r="A49" t="s">
        <v>72</v>
      </c>
      <c r="B49" s="5">
        <f>B36*5.17</f>
        <v>0</v>
      </c>
      <c r="C49" s="5">
        <f>C36*6.17</f>
        <v>0</v>
      </c>
      <c r="D49" s="5">
        <f>D36*7.67</f>
        <v>0</v>
      </c>
      <c r="E49" s="5">
        <f>E36*10.1</f>
        <v>0</v>
      </c>
      <c r="F49" s="5">
        <f>F36*12.6</f>
        <v>0</v>
      </c>
      <c r="G49" s="5">
        <f>G36*15.2</f>
        <v>0</v>
      </c>
      <c r="H49" s="5">
        <f>H36*20</f>
        <v>0</v>
      </c>
      <c r="I49" s="5">
        <f>I36*25.1</f>
        <v>0</v>
      </c>
      <c r="J49" s="5">
        <f>J36*29.8</f>
        <v>0</v>
      </c>
      <c r="K49" s="5">
        <f>K36*32.8</f>
        <v>0</v>
      </c>
      <c r="L49" s="5">
        <f>L36*37.5</f>
        <v>0</v>
      </c>
      <c r="M49" s="5">
        <f>M36*42.2</f>
        <v>0</v>
      </c>
      <c r="N49" s="5">
        <f>N36*47</f>
        <v>0</v>
      </c>
      <c r="O49" s="5">
        <f>O36*56.6</f>
        <v>0</v>
      </c>
      <c r="Q49" s="11"/>
    </row>
    <row r="50" spans="1:17" hidden="1">
      <c r="A50" s="12" t="s">
        <v>73</v>
      </c>
      <c r="B50" s="5">
        <f>B37*2.76</f>
        <v>0</v>
      </c>
      <c r="C50" s="5">
        <f>C37*3.29</f>
        <v>0</v>
      </c>
      <c r="D50" s="5">
        <f>D37*4.1</f>
        <v>0</v>
      </c>
      <c r="E50" s="5">
        <f>E37*5.37</f>
        <v>0</v>
      </c>
      <c r="F50" s="5">
        <f>F37*6.73</f>
        <v>0</v>
      </c>
      <c r="G50" s="5">
        <f>G37*8.1</f>
        <v>0</v>
      </c>
      <c r="H50" s="5">
        <f>H37*10.6</f>
        <v>0</v>
      </c>
      <c r="I50" s="5">
        <f>I37*13.4</f>
        <v>0</v>
      </c>
      <c r="J50" s="5">
        <f>J37*15.9</f>
        <v>0</v>
      </c>
      <c r="K50" s="5">
        <f>K37*17.5</f>
        <v>0</v>
      </c>
      <c r="L50" s="5">
        <f>L37*20</f>
        <v>0</v>
      </c>
      <c r="M50" s="5">
        <f>M37*22.5</f>
        <v>0</v>
      </c>
      <c r="N50" s="5">
        <f>N37*25.1</f>
        <v>0</v>
      </c>
      <c r="O50" s="5">
        <f>O37*30.2</f>
        <v>0</v>
      </c>
      <c r="Q50" s="11"/>
    </row>
    <row r="51" spans="1:17" hidden="1">
      <c r="A51">
        <v>45</v>
      </c>
      <c r="B51" s="5">
        <f>B38*2.76</f>
        <v>0</v>
      </c>
      <c r="C51" s="5">
        <f>C38*3.29</f>
        <v>0</v>
      </c>
      <c r="D51" s="5">
        <f>D38*4.1</f>
        <v>0</v>
      </c>
      <c r="E51" s="5">
        <f>E38*5.37</f>
        <v>0</v>
      </c>
      <c r="F51" s="5">
        <f>F38*6.73</f>
        <v>0</v>
      </c>
      <c r="G51" s="5">
        <f>G38*8.1</f>
        <v>16.2</v>
      </c>
      <c r="H51" s="5">
        <f>H38*10.6</f>
        <v>0</v>
      </c>
      <c r="I51" s="5">
        <f>I38*13.4</f>
        <v>0</v>
      </c>
      <c r="J51" s="5">
        <f>J38*15.9</f>
        <v>0</v>
      </c>
      <c r="K51" s="5">
        <f>K38*17.5</f>
        <v>0</v>
      </c>
      <c r="L51" s="5">
        <f>L38*20</f>
        <v>0</v>
      </c>
      <c r="M51" s="5">
        <f>M38*22.5</f>
        <v>0</v>
      </c>
      <c r="N51" s="5">
        <f>N38*25.1</f>
        <v>0</v>
      </c>
      <c r="O51" s="5">
        <f>O38*30.2</f>
        <v>0</v>
      </c>
      <c r="Q51" s="11"/>
    </row>
    <row r="52" spans="1:17" hidden="1">
      <c r="A52" s="12" t="s">
        <v>68</v>
      </c>
      <c r="B52" s="5">
        <f>B39*10.3</f>
        <v>0</v>
      </c>
      <c r="C52" s="5">
        <f>C39*12.3</f>
        <v>0</v>
      </c>
      <c r="D52" s="5">
        <f>D39*15.3</f>
        <v>0</v>
      </c>
      <c r="E52" s="5">
        <f>E39*20.1</f>
        <v>0</v>
      </c>
      <c r="F52" s="5">
        <f>F39*25.2</f>
        <v>0</v>
      </c>
      <c r="G52" s="5">
        <f>G39*30.3</f>
        <v>0</v>
      </c>
      <c r="H52" s="5">
        <f>H39*39.9</f>
        <v>0</v>
      </c>
      <c r="I52" s="5">
        <f>I39*50.1</f>
        <v>0</v>
      </c>
      <c r="J52" s="5">
        <f>J39*59.7</f>
        <v>0</v>
      </c>
      <c r="K52" s="5">
        <f>K39*65.6</f>
        <v>0</v>
      </c>
      <c r="L52" s="5">
        <f>L39*75</f>
        <v>0</v>
      </c>
      <c r="M52" s="5">
        <f>M39*84.4</f>
        <v>0</v>
      </c>
      <c r="N52" s="5">
        <f>N39*94.1</f>
        <v>0</v>
      </c>
      <c r="O52" s="5">
        <f>O39*113</f>
        <v>0</v>
      </c>
      <c r="Q52" s="11"/>
    </row>
    <row r="53" spans="1:17" hidden="1">
      <c r="A53" s="12" t="s">
        <v>69</v>
      </c>
      <c r="B53" s="5">
        <f>B40*3.45</f>
        <v>0</v>
      </c>
      <c r="C53" s="5">
        <f>C40*4.12</f>
        <v>0</v>
      </c>
      <c r="D53" s="5">
        <f>D40*5.11</f>
        <v>0</v>
      </c>
      <c r="E53" s="5">
        <f>E40*6.71</f>
        <v>0</v>
      </c>
      <c r="F53" s="5">
        <f>F40*8.41</f>
        <v>0</v>
      </c>
      <c r="G53" s="5">
        <f>G40*10.1</f>
        <v>0</v>
      </c>
      <c r="H53" s="5">
        <f>H40*13.3</f>
        <v>0</v>
      </c>
      <c r="I53" s="5">
        <f>I40*16.7</f>
        <v>0</v>
      </c>
      <c r="J53" s="5">
        <f>J40*19.9</f>
        <v>0</v>
      </c>
      <c r="K53" s="5">
        <f>K40*21.8</f>
        <v>0</v>
      </c>
      <c r="L53" s="5">
        <f>L40*25</f>
        <v>0</v>
      </c>
      <c r="M53" s="5">
        <f>M40*28.1</f>
        <v>0</v>
      </c>
      <c r="N53" s="5">
        <f>N40*31.4</f>
        <v>0</v>
      </c>
      <c r="O53" s="5">
        <f>O40*37.7</f>
        <v>0</v>
      </c>
      <c r="Q53" s="11"/>
    </row>
    <row r="54" spans="1:17" hidden="1">
      <c r="A54" s="12" t="s">
        <v>64</v>
      </c>
      <c r="B54" s="5">
        <f>B41*1.38</f>
        <v>0</v>
      </c>
      <c r="C54" s="5">
        <f>C41*1.65</f>
        <v>0</v>
      </c>
      <c r="D54" s="5">
        <f>D41*2.04</f>
        <v>0</v>
      </c>
      <c r="E54" s="5">
        <f>E41*2.68</f>
        <v>0</v>
      </c>
      <c r="F54" s="5">
        <f>F41*3.36</f>
        <v>0</v>
      </c>
      <c r="G54" s="5">
        <f>G41*4.04</f>
        <v>8.08</v>
      </c>
      <c r="H54" s="5">
        <f>H41*5.32</f>
        <v>0</v>
      </c>
      <c r="I54" s="5">
        <f>I41*6.68</f>
        <v>0</v>
      </c>
      <c r="J54" s="5">
        <f>J41*7.96</f>
        <v>0</v>
      </c>
      <c r="K54" s="5">
        <f>K41*8.75</f>
        <v>0</v>
      </c>
      <c r="L54" s="5">
        <f>L41*10</f>
        <v>0</v>
      </c>
      <c r="M54" s="5">
        <f>M41*11</f>
        <v>0</v>
      </c>
      <c r="N54" s="5">
        <f>N41*12.5</f>
        <v>0</v>
      </c>
      <c r="O54" s="5">
        <f>O41*15.1</f>
        <v>0</v>
      </c>
      <c r="Q54" s="11"/>
    </row>
    <row r="55" spans="1:17" hidden="1">
      <c r="A55" s="12" t="s">
        <v>65</v>
      </c>
      <c r="B55" s="5">
        <f>B42*58.6</f>
        <v>0</v>
      </c>
      <c r="C55" s="5">
        <f>C42*70</f>
        <v>0</v>
      </c>
      <c r="D55" s="5">
        <f>D42*86.9</f>
        <v>0</v>
      </c>
      <c r="E55" s="5">
        <f>E42*114</f>
        <v>0</v>
      </c>
      <c r="F55" s="5">
        <f>F42*143</f>
        <v>0</v>
      </c>
      <c r="G55" s="5">
        <f>G42*172</f>
        <v>0</v>
      </c>
      <c r="H55" s="5">
        <f>H42*226</f>
        <v>0</v>
      </c>
      <c r="I55" s="5">
        <f>I42*284</f>
        <v>0</v>
      </c>
      <c r="J55" s="5">
        <f>J42*338</f>
        <v>0</v>
      </c>
      <c r="K55" s="5">
        <f>K42*372</f>
        <v>0</v>
      </c>
      <c r="L55" s="5">
        <f>L42*425</f>
        <v>0</v>
      </c>
      <c r="M55" s="5">
        <f>M42*478</f>
        <v>0</v>
      </c>
      <c r="N55" s="5">
        <f>N42*533</f>
        <v>0</v>
      </c>
      <c r="O55" s="5">
        <f>O42*541</f>
        <v>0</v>
      </c>
      <c r="Q55" s="11"/>
    </row>
    <row r="56" spans="1:17" hidden="1">
      <c r="A56" s="12" t="s">
        <v>66</v>
      </c>
      <c r="B56" s="5">
        <f>B43*7.75</f>
        <v>0</v>
      </c>
      <c r="C56" s="5">
        <f>C43*9.26</f>
        <v>0</v>
      </c>
      <c r="D56" s="5">
        <f>D43*11.5</f>
        <v>0</v>
      </c>
      <c r="E56" s="5">
        <f>E43*15.1</f>
        <v>0</v>
      </c>
      <c r="F56" s="5">
        <f>F43*18.9</f>
        <v>0</v>
      </c>
      <c r="G56" s="5">
        <f>G43*22.7</f>
        <v>0</v>
      </c>
      <c r="H56" s="5">
        <f>H43*29.9</f>
        <v>0</v>
      </c>
      <c r="I56" s="5">
        <f>I43*29.2</f>
        <v>0</v>
      </c>
      <c r="J56" s="5">
        <f>J43*34.8</f>
        <v>0</v>
      </c>
      <c r="K56" s="5">
        <f>K43*38.3</f>
        <v>0</v>
      </c>
      <c r="L56" s="5">
        <f>L43*31.3</f>
        <v>0</v>
      </c>
      <c r="M56" s="5">
        <f>M43*35.2</f>
        <v>0</v>
      </c>
      <c r="N56" s="5">
        <f>N43*39.2</f>
        <v>0</v>
      </c>
      <c r="O56" s="5">
        <f>O43*47.1</f>
        <v>0</v>
      </c>
      <c r="Q56" s="11"/>
    </row>
    <row r="57" spans="1:17" hidden="1">
      <c r="A57" s="12" t="s">
        <v>67</v>
      </c>
      <c r="B57" s="5">
        <f>B44*8.61</f>
        <v>0</v>
      </c>
      <c r="C57" s="5">
        <f>C44*10.3</f>
        <v>0</v>
      </c>
      <c r="D57" s="5">
        <f>D44*12.8</f>
        <v>0</v>
      </c>
      <c r="E57" s="5">
        <f>E44*16.8</f>
        <v>0</v>
      </c>
      <c r="F57" s="5">
        <f>F44*21</f>
        <v>0</v>
      </c>
      <c r="G57" s="5">
        <f>G44*25.3</f>
        <v>0</v>
      </c>
      <c r="H57" s="5">
        <f>H44*33.3</f>
        <v>0</v>
      </c>
      <c r="I57" s="5">
        <f>I44*41.8</f>
        <v>0</v>
      </c>
      <c r="J57" s="5">
        <f>J44*49.7</f>
        <v>0</v>
      </c>
      <c r="K57" s="5">
        <f>K44*54.7</f>
        <v>0</v>
      </c>
      <c r="L57" s="5">
        <f>L44*62.5</f>
        <v>0</v>
      </c>
      <c r="M57" s="5">
        <f>M44*70.3</f>
        <v>0</v>
      </c>
      <c r="N57" s="5">
        <f>N44*78.4</f>
        <v>0</v>
      </c>
      <c r="O57" s="5">
        <f>O44*94.3</f>
        <v>0</v>
      </c>
      <c r="Q57" s="11"/>
    </row>
    <row r="58" spans="1:17" hidden="1">
      <c r="A58" s="12" t="s">
        <v>70</v>
      </c>
      <c r="B58" s="5">
        <f>B45*17.2</f>
        <v>0</v>
      </c>
      <c r="C58" s="5">
        <f>C45*20.6</f>
        <v>0</v>
      </c>
      <c r="D58" s="5">
        <f>D45*25.5</f>
        <v>0</v>
      </c>
      <c r="E58" s="5">
        <f>E45*33.6</f>
        <v>0</v>
      </c>
      <c r="F58" s="5">
        <f>F45*42.1</f>
        <v>0</v>
      </c>
      <c r="G58" s="5">
        <f>G45*50.5</f>
        <v>0</v>
      </c>
      <c r="H58" s="5">
        <f>H45*33.3</f>
        <v>0</v>
      </c>
      <c r="I58" s="5">
        <f>I45*41.8</f>
        <v>0</v>
      </c>
      <c r="J58" s="5">
        <f>J45*49.7</f>
        <v>0</v>
      </c>
      <c r="K58" s="5">
        <f>K45*54.7</f>
        <v>0</v>
      </c>
      <c r="L58" s="5">
        <f>L45*62.5</f>
        <v>0</v>
      </c>
      <c r="M58" s="5">
        <f>M45*70.3</f>
        <v>0</v>
      </c>
      <c r="N58" s="5">
        <f>N45*78.6</f>
        <v>0</v>
      </c>
      <c r="O58" s="5">
        <f>O45*94.3</f>
        <v>0</v>
      </c>
      <c r="Q58" s="11"/>
    </row>
    <row r="59" spans="1:17" hidden="1">
      <c r="A59" s="12" t="s">
        <v>71</v>
      </c>
      <c r="B59" s="5">
        <f>B46*1</f>
        <v>0</v>
      </c>
      <c r="C59" s="5">
        <f t="shared" ref="C59:O59" si="4">C46*1</f>
        <v>0</v>
      </c>
      <c r="D59" s="5">
        <f t="shared" si="4"/>
        <v>0</v>
      </c>
      <c r="E59" s="5">
        <f t="shared" si="4"/>
        <v>0</v>
      </c>
      <c r="F59" s="5">
        <f t="shared" si="4"/>
        <v>0</v>
      </c>
      <c r="G59" s="5">
        <f t="shared" si="4"/>
        <v>0</v>
      </c>
      <c r="H59" s="5">
        <f t="shared" si="4"/>
        <v>0</v>
      </c>
      <c r="I59" s="5">
        <f t="shared" si="4"/>
        <v>0</v>
      </c>
      <c r="J59" s="5">
        <f t="shared" si="4"/>
        <v>0</v>
      </c>
      <c r="K59" s="5">
        <f t="shared" si="4"/>
        <v>0</v>
      </c>
      <c r="L59" s="5">
        <f t="shared" si="4"/>
        <v>0</v>
      </c>
      <c r="M59" s="5">
        <f t="shared" si="4"/>
        <v>0</v>
      </c>
      <c r="N59" s="5">
        <f t="shared" si="4"/>
        <v>0</v>
      </c>
      <c r="O59" s="5">
        <f t="shared" si="4"/>
        <v>0</v>
      </c>
      <c r="Q59" s="11"/>
    </row>
    <row r="60" spans="1:17" hidden="1">
      <c r="B60" s="5">
        <f>B47*1</f>
        <v>0</v>
      </c>
      <c r="C60" s="5">
        <f t="shared" ref="C60:O60" si="5">C47*1</f>
        <v>0</v>
      </c>
      <c r="D60" s="5">
        <f t="shared" si="5"/>
        <v>0</v>
      </c>
      <c r="E60" s="5">
        <f t="shared" si="5"/>
        <v>0</v>
      </c>
      <c r="F60" s="5">
        <f t="shared" si="5"/>
        <v>0</v>
      </c>
      <c r="G60" s="5">
        <f t="shared" si="5"/>
        <v>0</v>
      </c>
      <c r="H60" s="5">
        <f t="shared" si="5"/>
        <v>0</v>
      </c>
      <c r="I60" s="5">
        <f t="shared" si="5"/>
        <v>0</v>
      </c>
      <c r="J60" s="5">
        <f t="shared" si="5"/>
        <v>0</v>
      </c>
      <c r="K60" s="5">
        <f t="shared" si="5"/>
        <v>0</v>
      </c>
      <c r="L60" s="5">
        <f t="shared" si="5"/>
        <v>0</v>
      </c>
      <c r="M60" s="5">
        <f t="shared" si="5"/>
        <v>0</v>
      </c>
      <c r="N60" s="5">
        <f t="shared" si="5"/>
        <v>0</v>
      </c>
      <c r="O60" s="5">
        <f t="shared" si="5"/>
        <v>0</v>
      </c>
    </row>
    <row r="61" spans="1:17">
      <c r="A61" s="4" t="s">
        <v>108</v>
      </c>
    </row>
    <row r="62" spans="1:17">
      <c r="A62" s="10" t="s">
        <v>75</v>
      </c>
      <c r="B62" s="5" t="s">
        <v>40</v>
      </c>
      <c r="C62" s="5" t="s">
        <v>41</v>
      </c>
      <c r="D62" s="5" t="s">
        <v>42</v>
      </c>
      <c r="E62" s="5" t="s">
        <v>43</v>
      </c>
      <c r="F62" s="5" t="s">
        <v>44</v>
      </c>
      <c r="G62" s="5" t="s">
        <v>45</v>
      </c>
      <c r="H62" s="5" t="s">
        <v>46</v>
      </c>
      <c r="I62" s="5" t="s">
        <v>47</v>
      </c>
      <c r="J62" s="5" t="s">
        <v>48</v>
      </c>
      <c r="K62" s="5" t="s">
        <v>49</v>
      </c>
      <c r="L62" s="5" t="s">
        <v>50</v>
      </c>
      <c r="M62" s="5" t="s">
        <v>63</v>
      </c>
      <c r="N62" s="5" t="s">
        <v>51</v>
      </c>
      <c r="O62" s="5" t="s">
        <v>52</v>
      </c>
      <c r="Q62" s="10"/>
    </row>
    <row r="63" spans="1:17">
      <c r="A63" t="s">
        <v>53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Q63" s="11">
        <f>SUM(B76:O76)</f>
        <v>0</v>
      </c>
    </row>
    <row r="64" spans="1:17">
      <c r="A64" t="s">
        <v>54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Q64" s="11">
        <f t="shared" ref="Q64:Q72" si="6">SUM(B77:O77)</f>
        <v>0</v>
      </c>
    </row>
    <row r="65" spans="1:18">
      <c r="A65" t="s">
        <v>55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Q65" s="11">
        <f t="shared" si="6"/>
        <v>0</v>
      </c>
    </row>
    <row r="66" spans="1:18">
      <c r="A66" t="s">
        <v>59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Q66" s="11">
        <f t="shared" si="6"/>
        <v>0</v>
      </c>
    </row>
    <row r="67" spans="1:18">
      <c r="A67" t="s">
        <v>58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Q67" s="11">
        <f t="shared" si="6"/>
        <v>0</v>
      </c>
    </row>
    <row r="68" spans="1:18">
      <c r="A68" t="s">
        <v>56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Q68" s="11">
        <f t="shared" si="6"/>
        <v>0</v>
      </c>
    </row>
    <row r="69" spans="1:18">
      <c r="A69" t="s">
        <v>60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Q69" s="11">
        <f t="shared" si="6"/>
        <v>0</v>
      </c>
    </row>
    <row r="70" spans="1:18">
      <c r="A70" t="s">
        <v>61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Q70" s="11">
        <f t="shared" si="6"/>
        <v>0</v>
      </c>
    </row>
    <row r="71" spans="1:18">
      <c r="A71" t="s">
        <v>62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Q71" s="11">
        <f t="shared" si="6"/>
        <v>0</v>
      </c>
    </row>
    <row r="72" spans="1:18">
      <c r="A72" t="s">
        <v>57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Q72" s="11">
        <f t="shared" si="6"/>
        <v>0</v>
      </c>
    </row>
    <row r="73" spans="1:18">
      <c r="A73" s="13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Q73" s="15"/>
    </row>
    <row r="74" spans="1:18">
      <c r="A74" s="13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Q74" s="15"/>
    </row>
    <row r="75" spans="1:18">
      <c r="Q75" s="11">
        <f>SUM(Q63:Q74)</f>
        <v>0</v>
      </c>
      <c r="R75" t="s">
        <v>76</v>
      </c>
    </row>
    <row r="76" spans="1:18" hidden="1">
      <c r="A76" t="s">
        <v>72</v>
      </c>
      <c r="B76" s="5">
        <f>B63*5.17</f>
        <v>0</v>
      </c>
      <c r="C76" s="5">
        <f>C63*6.17</f>
        <v>0</v>
      </c>
      <c r="D76" s="5">
        <f>D63*7.67</f>
        <v>0</v>
      </c>
      <c r="E76" s="5">
        <f>E63*10.1</f>
        <v>0</v>
      </c>
      <c r="F76" s="5">
        <f>F63*12.6</f>
        <v>0</v>
      </c>
      <c r="G76" s="5">
        <f>G63*15.2</f>
        <v>0</v>
      </c>
      <c r="H76" s="5">
        <f>H63*20</f>
        <v>0</v>
      </c>
      <c r="I76" s="5">
        <f>I63*25.1</f>
        <v>0</v>
      </c>
      <c r="J76" s="5">
        <f>J63*29.8</f>
        <v>0</v>
      </c>
      <c r="K76" s="5">
        <f>K63*32.8</f>
        <v>0</v>
      </c>
      <c r="L76" s="5">
        <f>L63*37.5</f>
        <v>0</v>
      </c>
      <c r="M76" s="5">
        <f>M63*42.2</f>
        <v>0</v>
      </c>
      <c r="N76" s="5">
        <f>N63*47</f>
        <v>0</v>
      </c>
      <c r="O76" s="5">
        <f>O63*56.6</f>
        <v>0</v>
      </c>
    </row>
    <row r="77" spans="1:18" hidden="1">
      <c r="A77" s="12" t="s">
        <v>73</v>
      </c>
      <c r="B77" s="5">
        <f>B64*2.76</f>
        <v>0</v>
      </c>
      <c r="C77" s="5">
        <f>C64*3.29</f>
        <v>0</v>
      </c>
      <c r="D77" s="5">
        <f>D64*4.1</f>
        <v>0</v>
      </c>
      <c r="E77" s="5">
        <f>E64*5.37</f>
        <v>0</v>
      </c>
      <c r="F77" s="5">
        <f>F64*6.73</f>
        <v>0</v>
      </c>
      <c r="G77" s="5">
        <f>G64*8.1</f>
        <v>0</v>
      </c>
      <c r="H77" s="5">
        <f>H64*10.6</f>
        <v>0</v>
      </c>
      <c r="I77" s="5">
        <f>I64*13.4</f>
        <v>0</v>
      </c>
      <c r="J77" s="5">
        <f>J64*15.9</f>
        <v>0</v>
      </c>
      <c r="K77" s="5">
        <f>K64*17.5</f>
        <v>0</v>
      </c>
      <c r="L77" s="5">
        <f>L64*20</f>
        <v>0</v>
      </c>
      <c r="M77" s="5">
        <f>M64*22.5</f>
        <v>0</v>
      </c>
      <c r="N77" s="5">
        <f>N64*25.1</f>
        <v>0</v>
      </c>
      <c r="O77" s="5">
        <f>O64*30.2</f>
        <v>0</v>
      </c>
    </row>
    <row r="78" spans="1:18" hidden="1">
      <c r="A78">
        <v>45</v>
      </c>
      <c r="B78" s="5">
        <f>B65*2.76</f>
        <v>0</v>
      </c>
      <c r="C78" s="5">
        <f>C65*3.29</f>
        <v>0</v>
      </c>
      <c r="D78" s="5">
        <f>D65*4.1</f>
        <v>0</v>
      </c>
      <c r="E78" s="5">
        <f>E65*5.37</f>
        <v>0</v>
      </c>
      <c r="F78" s="5">
        <f>F65*6.73</f>
        <v>0</v>
      </c>
      <c r="G78" s="5">
        <f>G65*8.1</f>
        <v>0</v>
      </c>
      <c r="H78" s="5">
        <f>H65*10.6</f>
        <v>0</v>
      </c>
      <c r="I78" s="5">
        <f>I65*13.4</f>
        <v>0</v>
      </c>
      <c r="J78" s="5">
        <f>J65*15.9</f>
        <v>0</v>
      </c>
      <c r="K78" s="5">
        <f>K65*17.5</f>
        <v>0</v>
      </c>
      <c r="L78" s="5">
        <f>L65*20</f>
        <v>0</v>
      </c>
      <c r="M78" s="5">
        <f>M65*22.5</f>
        <v>0</v>
      </c>
      <c r="N78" s="5">
        <f>N65*25.1</f>
        <v>0</v>
      </c>
      <c r="O78" s="5">
        <f>O65*30.2</f>
        <v>0</v>
      </c>
    </row>
    <row r="79" spans="1:18" hidden="1">
      <c r="A79" s="12" t="s">
        <v>68</v>
      </c>
      <c r="B79" s="5">
        <f>B66*10.3</f>
        <v>0</v>
      </c>
      <c r="C79" s="5">
        <f>C66*12.3</f>
        <v>0</v>
      </c>
      <c r="D79" s="5">
        <f>D66*15.3</f>
        <v>0</v>
      </c>
      <c r="E79" s="5">
        <f>E66*20.1</f>
        <v>0</v>
      </c>
      <c r="F79" s="5">
        <f>F66*25.2</f>
        <v>0</v>
      </c>
      <c r="G79" s="5">
        <f>G66*30.3</f>
        <v>0</v>
      </c>
      <c r="H79" s="5">
        <f>H66*39.9</f>
        <v>0</v>
      </c>
      <c r="I79" s="5">
        <f>I66*50.1</f>
        <v>0</v>
      </c>
      <c r="J79" s="5">
        <f>J66*59.7</f>
        <v>0</v>
      </c>
      <c r="K79" s="5">
        <f>K66*65.6</f>
        <v>0</v>
      </c>
      <c r="L79" s="5">
        <f>L66*75</f>
        <v>0</v>
      </c>
      <c r="M79" s="5">
        <f>M66*84.4</f>
        <v>0</v>
      </c>
      <c r="N79" s="5">
        <f>N66*94.1</f>
        <v>0</v>
      </c>
      <c r="O79" s="5">
        <f>O66*113</f>
        <v>0</v>
      </c>
    </row>
    <row r="80" spans="1:18" hidden="1">
      <c r="A80" s="12" t="s">
        <v>69</v>
      </c>
      <c r="B80" s="5">
        <f>B67*3.45</f>
        <v>0</v>
      </c>
      <c r="C80" s="5">
        <f>C67*4.12</f>
        <v>0</v>
      </c>
      <c r="D80" s="5">
        <f>D67*5.11</f>
        <v>0</v>
      </c>
      <c r="E80" s="5">
        <f>E67*6.71</f>
        <v>0</v>
      </c>
      <c r="F80" s="5">
        <f>F67*8.41</f>
        <v>0</v>
      </c>
      <c r="G80" s="5">
        <f>G67*10.1</f>
        <v>0</v>
      </c>
      <c r="H80" s="5">
        <f>H67*13.3</f>
        <v>0</v>
      </c>
      <c r="I80" s="5">
        <f>I67*16.7</f>
        <v>0</v>
      </c>
      <c r="J80" s="5">
        <f>J67*19.9</f>
        <v>0</v>
      </c>
      <c r="K80" s="5">
        <f>K67*21.8</f>
        <v>0</v>
      </c>
      <c r="L80" s="5">
        <f>L67*25</f>
        <v>0</v>
      </c>
      <c r="M80" s="5">
        <f>M67*28.1</f>
        <v>0</v>
      </c>
      <c r="N80" s="5">
        <f>N67*31.4</f>
        <v>0</v>
      </c>
      <c r="O80" s="5">
        <f>O67*37.7</f>
        <v>0</v>
      </c>
    </row>
    <row r="81" spans="1:15" hidden="1">
      <c r="A81" s="12" t="s">
        <v>64</v>
      </c>
      <c r="B81" s="5">
        <f>B68*1.38</f>
        <v>0</v>
      </c>
      <c r="C81" s="5">
        <f>C68*1.65</f>
        <v>0</v>
      </c>
      <c r="D81" s="5">
        <f>D68*2.04</f>
        <v>0</v>
      </c>
      <c r="E81" s="5">
        <f>E68*2.68</f>
        <v>0</v>
      </c>
      <c r="F81" s="5">
        <f>F68*3.36</f>
        <v>0</v>
      </c>
      <c r="G81" s="5">
        <f>G68*4.04</f>
        <v>0</v>
      </c>
      <c r="H81" s="5">
        <f>H68*5.32</f>
        <v>0</v>
      </c>
      <c r="I81" s="5">
        <f>I68*6.68</f>
        <v>0</v>
      </c>
      <c r="J81" s="5">
        <f>J68*7.96</f>
        <v>0</v>
      </c>
      <c r="K81" s="5">
        <f>K68*8.75</f>
        <v>0</v>
      </c>
      <c r="L81" s="5">
        <f>L68*10</f>
        <v>0</v>
      </c>
      <c r="M81" s="5">
        <f>M68*11</f>
        <v>0</v>
      </c>
      <c r="N81" s="5">
        <f>N68*12.5</f>
        <v>0</v>
      </c>
      <c r="O81" s="5">
        <f>O68*15.1</f>
        <v>0</v>
      </c>
    </row>
    <row r="82" spans="1:15" hidden="1">
      <c r="A82" s="12" t="s">
        <v>65</v>
      </c>
      <c r="B82" s="5">
        <f>B69*58.6</f>
        <v>0</v>
      </c>
      <c r="C82" s="5">
        <f>C69*70</f>
        <v>0</v>
      </c>
      <c r="D82" s="5">
        <f>D69*86.9</f>
        <v>0</v>
      </c>
      <c r="E82" s="5">
        <f>E69*114</f>
        <v>0</v>
      </c>
      <c r="F82" s="5">
        <f>F69*143</f>
        <v>0</v>
      </c>
      <c r="G82" s="5">
        <f>G69*172</f>
        <v>0</v>
      </c>
      <c r="H82" s="5">
        <f>H69*226</f>
        <v>0</v>
      </c>
      <c r="I82" s="5">
        <f>I69*284</f>
        <v>0</v>
      </c>
      <c r="J82" s="5">
        <f>J69*338</f>
        <v>0</v>
      </c>
      <c r="K82" s="5">
        <f>K69*372</f>
        <v>0</v>
      </c>
      <c r="L82" s="5">
        <f>L69*425</f>
        <v>0</v>
      </c>
      <c r="M82" s="5">
        <f>M69*478</f>
        <v>0</v>
      </c>
      <c r="N82" s="5">
        <f>N69*533</f>
        <v>0</v>
      </c>
      <c r="O82" s="5">
        <f>O69*541</f>
        <v>0</v>
      </c>
    </row>
    <row r="83" spans="1:15" hidden="1">
      <c r="A83" s="12" t="s">
        <v>66</v>
      </c>
      <c r="B83" s="5">
        <f>B70*7.75</f>
        <v>0</v>
      </c>
      <c r="C83" s="5">
        <f>C70*9.26</f>
        <v>0</v>
      </c>
      <c r="D83" s="5">
        <f>D70*11.5</f>
        <v>0</v>
      </c>
      <c r="E83" s="5">
        <f>E70*15.1</f>
        <v>0</v>
      </c>
      <c r="F83" s="5">
        <f>F70*18.9</f>
        <v>0</v>
      </c>
      <c r="G83" s="5">
        <f>G70*22.7</f>
        <v>0</v>
      </c>
      <c r="H83" s="5">
        <f>H70*29.9</f>
        <v>0</v>
      </c>
      <c r="I83" s="5">
        <f>I70*29.2</f>
        <v>0</v>
      </c>
      <c r="J83" s="5">
        <f>J70*34.8</f>
        <v>0</v>
      </c>
      <c r="K83" s="5">
        <f>K70*38.3</f>
        <v>0</v>
      </c>
      <c r="L83" s="5">
        <f>L70*31.3</f>
        <v>0</v>
      </c>
      <c r="M83" s="5">
        <f>M70*35.2</f>
        <v>0</v>
      </c>
      <c r="N83" s="5">
        <f>N70*39.2</f>
        <v>0</v>
      </c>
      <c r="O83" s="5">
        <f>O70*47.1</f>
        <v>0</v>
      </c>
    </row>
    <row r="84" spans="1:15" hidden="1">
      <c r="A84" s="12" t="s">
        <v>67</v>
      </c>
      <c r="B84" s="5">
        <f>B71*8.61</f>
        <v>0</v>
      </c>
      <c r="C84" s="5">
        <f>C71*10.3</f>
        <v>0</v>
      </c>
      <c r="D84" s="5">
        <f>D71*12.8</f>
        <v>0</v>
      </c>
      <c r="E84" s="5">
        <f>E71*16.8</f>
        <v>0</v>
      </c>
      <c r="F84" s="5">
        <f>F71*21</f>
        <v>0</v>
      </c>
      <c r="G84" s="5">
        <f>G71*25.3</f>
        <v>0</v>
      </c>
      <c r="H84" s="5">
        <f>H71*33.3</f>
        <v>0</v>
      </c>
      <c r="I84" s="5">
        <f>I71*41.8</f>
        <v>0</v>
      </c>
      <c r="J84" s="5">
        <f>J71*49.7</f>
        <v>0</v>
      </c>
      <c r="K84" s="5">
        <f>K71*54.7</f>
        <v>0</v>
      </c>
      <c r="L84" s="5">
        <f>L71*62.5</f>
        <v>0</v>
      </c>
      <c r="M84" s="5">
        <f>M71*70.3</f>
        <v>0</v>
      </c>
      <c r="N84" s="5">
        <f>N71*78.4</f>
        <v>0</v>
      </c>
      <c r="O84" s="5">
        <f>O71*94.3</f>
        <v>0</v>
      </c>
    </row>
    <row r="85" spans="1:15" hidden="1">
      <c r="A85" s="12" t="s">
        <v>70</v>
      </c>
      <c r="B85" s="5">
        <f>B72*17.2</f>
        <v>0</v>
      </c>
      <c r="C85" s="5">
        <f>C72*20.6</f>
        <v>0</v>
      </c>
      <c r="D85" s="5">
        <f>D72*25.5</f>
        <v>0</v>
      </c>
      <c r="E85" s="5">
        <f>E72*33.6</f>
        <v>0</v>
      </c>
      <c r="F85" s="5">
        <f>F72*42.1</f>
        <v>0</v>
      </c>
      <c r="G85" s="5">
        <f>G72*50.5</f>
        <v>0</v>
      </c>
      <c r="H85" s="5">
        <f>H72*33.3</f>
        <v>0</v>
      </c>
      <c r="I85" s="5">
        <f>I72*41.8</f>
        <v>0</v>
      </c>
      <c r="J85" s="5">
        <f>J72*49.7</f>
        <v>0</v>
      </c>
      <c r="K85" s="5">
        <f>K72*54.7</f>
        <v>0</v>
      </c>
      <c r="L85" s="5">
        <f>L72*62.5</f>
        <v>0</v>
      </c>
      <c r="M85" s="5">
        <f>M72*70.3</f>
        <v>0</v>
      </c>
      <c r="N85" s="5">
        <f>N72*78.6</f>
        <v>0</v>
      </c>
      <c r="O85" s="5">
        <f>O72*94.3</f>
        <v>0</v>
      </c>
    </row>
    <row r="86" spans="1:15" hidden="1">
      <c r="A86" s="12" t="s">
        <v>71</v>
      </c>
      <c r="B86" s="5">
        <f>B73*1</f>
        <v>0</v>
      </c>
      <c r="C86" s="5">
        <f t="shared" ref="C86:O86" si="7">C73*1</f>
        <v>0</v>
      </c>
      <c r="D86" s="5">
        <f t="shared" si="7"/>
        <v>0</v>
      </c>
      <c r="E86" s="5">
        <f t="shared" si="7"/>
        <v>0</v>
      </c>
      <c r="F86" s="5">
        <f t="shared" si="7"/>
        <v>0</v>
      </c>
      <c r="G86" s="5">
        <f t="shared" si="7"/>
        <v>0</v>
      </c>
      <c r="H86" s="5">
        <f t="shared" si="7"/>
        <v>0</v>
      </c>
      <c r="I86" s="5">
        <f t="shared" si="7"/>
        <v>0</v>
      </c>
      <c r="J86" s="5">
        <f t="shared" si="7"/>
        <v>0</v>
      </c>
      <c r="K86" s="5">
        <f t="shared" si="7"/>
        <v>0</v>
      </c>
      <c r="L86" s="5">
        <f t="shared" si="7"/>
        <v>0</v>
      </c>
      <c r="M86" s="5">
        <f t="shared" si="7"/>
        <v>0</v>
      </c>
      <c r="N86" s="5">
        <f t="shared" si="7"/>
        <v>0</v>
      </c>
      <c r="O86" s="5">
        <f t="shared" si="7"/>
        <v>0</v>
      </c>
    </row>
    <row r="87" spans="1:15" hidden="1">
      <c r="B87" s="5">
        <f>B74*1</f>
        <v>0</v>
      </c>
      <c r="C87" s="5">
        <f t="shared" ref="C87:O87" si="8">C74*1</f>
        <v>0</v>
      </c>
      <c r="D87" s="5">
        <f t="shared" si="8"/>
        <v>0</v>
      </c>
      <c r="E87" s="5">
        <f t="shared" si="8"/>
        <v>0</v>
      </c>
      <c r="F87" s="5">
        <f t="shared" si="8"/>
        <v>0</v>
      </c>
      <c r="G87" s="5">
        <f t="shared" si="8"/>
        <v>0</v>
      </c>
      <c r="H87" s="5">
        <f t="shared" si="8"/>
        <v>0</v>
      </c>
      <c r="I87" s="5">
        <f t="shared" si="8"/>
        <v>0</v>
      </c>
      <c r="J87" s="5">
        <f t="shared" si="8"/>
        <v>0</v>
      </c>
      <c r="K87" s="5">
        <f t="shared" si="8"/>
        <v>0</v>
      </c>
      <c r="L87" s="5">
        <f t="shared" si="8"/>
        <v>0</v>
      </c>
      <c r="M87" s="5">
        <f t="shared" si="8"/>
        <v>0</v>
      </c>
      <c r="N87" s="5">
        <f t="shared" si="8"/>
        <v>0</v>
      </c>
      <c r="O87" s="5">
        <f t="shared" si="8"/>
        <v>0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Pipe Calcs</vt:lpstr>
      <vt:lpstr>Fitting Calcs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Evans</dc:creator>
  <cp:lastModifiedBy>Joe Evans</cp:lastModifiedBy>
  <dcterms:created xsi:type="dcterms:W3CDTF">2012-06-13T13:55:37Z</dcterms:created>
  <dcterms:modified xsi:type="dcterms:W3CDTF">2012-12-26T18:57:07Z</dcterms:modified>
</cp:coreProperties>
</file>