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8445"/>
  </bookViews>
  <sheets>
    <sheet name="Pump Calcs" sheetId="1" r:id="rId1"/>
    <sheet name="AC Power &amp; Motor Calcs" sheetId="3" r:id="rId2"/>
    <sheet name="Simple Pipe Calcs" sheetId="5" r:id="rId3"/>
  </sheets>
  <calcPr calcId="125725"/>
</workbook>
</file>

<file path=xl/calcChain.xml><?xml version="1.0" encoding="utf-8"?>
<calcChain xmlns="http://schemas.openxmlformats.org/spreadsheetml/2006/main">
  <c r="J14" i="3"/>
  <c r="J16" s="1"/>
  <c r="J13"/>
  <c r="J15" s="1"/>
  <c r="J12"/>
  <c r="J11"/>
  <c r="J4"/>
  <c r="J3"/>
  <c r="K4" i="1"/>
  <c r="R8" i="3"/>
  <c r="U10" s="1"/>
  <c r="R10" s="1"/>
  <c r="R3"/>
  <c r="U5" s="1"/>
  <c r="R5" s="1"/>
  <c r="F19" i="5"/>
  <c r="F20" s="1"/>
  <c r="F17"/>
  <c r="F18" s="1"/>
  <c r="F12"/>
  <c r="F13" s="1"/>
  <c r="F10"/>
  <c r="F11" s="1"/>
  <c r="F6"/>
  <c r="F7" s="1"/>
  <c r="F4"/>
  <c r="F5" s="1"/>
  <c r="F22" l="1"/>
  <c r="F15"/>
  <c r="F14"/>
  <c r="F8"/>
  <c r="F21"/>
  <c r="R14" i="3"/>
  <c r="R16" s="1"/>
  <c r="R13"/>
  <c r="R15"/>
  <c r="U9"/>
  <c r="R9" s="1"/>
  <c r="U12" s="1"/>
  <c r="U11"/>
  <c r="R11" s="1"/>
  <c r="U4"/>
  <c r="R4" s="1"/>
  <c r="U7" s="1"/>
  <c r="U6"/>
  <c r="R6" s="1"/>
  <c r="J7"/>
  <c r="U13" l="1"/>
  <c r="R12" s="1"/>
  <c r="J10"/>
  <c r="J8"/>
  <c r="U8"/>
  <c r="R7" s="1"/>
  <c r="J5"/>
  <c r="S10" i="1"/>
  <c r="S6"/>
  <c r="S7" s="1"/>
  <c r="S4"/>
  <c r="S5" s="1"/>
  <c r="S3"/>
  <c r="J9" i="3" l="1"/>
  <c r="J6"/>
  <c r="S8" i="1"/>
  <c r="S9" s="1"/>
  <c r="S11" s="1"/>
  <c r="K17" l="1"/>
  <c r="K16"/>
  <c r="K15"/>
  <c r="K14"/>
  <c r="K9"/>
  <c r="K8"/>
  <c r="K19" l="1"/>
  <c r="K23" s="1"/>
  <c r="K25" s="1"/>
  <c r="K18"/>
  <c r="K22" s="1"/>
  <c r="K24" s="1"/>
  <c r="K21"/>
  <c r="K20"/>
  <c r="K7" l="1"/>
  <c r="K3"/>
  <c r="K6" l="1"/>
  <c r="K5"/>
  <c r="K10" l="1"/>
  <c r="K12"/>
  <c r="K13"/>
  <c r="K11"/>
</calcChain>
</file>

<file path=xl/sharedStrings.xml><?xml version="1.0" encoding="utf-8"?>
<sst xmlns="http://schemas.openxmlformats.org/spreadsheetml/2006/main" count="269" uniqueCount="215">
  <si>
    <t>Calculated Data</t>
  </si>
  <si>
    <t>Data Input</t>
  </si>
  <si>
    <t>BEP Flow (GPM)</t>
  </si>
  <si>
    <t>BEP Head (ft)</t>
  </si>
  <si>
    <t>Suction Head + or - (ft)</t>
  </si>
  <si>
    <t>Impeller Diameter (in)</t>
  </si>
  <si>
    <t>Eye Diameter (in)</t>
  </si>
  <si>
    <t>Specific Speed</t>
  </si>
  <si>
    <t>Suction Energy</t>
  </si>
  <si>
    <t>Impeller Trim Diameter (in)</t>
  </si>
  <si>
    <t>Pump Speed (RPM)</t>
  </si>
  <si>
    <t>Higher / Lower Speed (RPM)</t>
  </si>
  <si>
    <t>BEP NPSHr (ft)</t>
  </si>
  <si>
    <t>System NPSHa (ft)</t>
  </si>
  <si>
    <t>2, 4, 15</t>
  </si>
  <si>
    <t>Liquid Specific Gravity</t>
  </si>
  <si>
    <t>BEP HP</t>
  </si>
  <si>
    <t>NPSH Margin (BEP)</t>
  </si>
  <si>
    <t>7, 8</t>
  </si>
  <si>
    <t>BEP Wire / Water Eff</t>
  </si>
  <si>
    <t>1, 3, 5, 14</t>
  </si>
  <si>
    <t>2, 4, 6, 14</t>
  </si>
  <si>
    <t>BEP $$ / 1000 Gallons</t>
  </si>
  <si>
    <t>Power Cost / KWH (decimal)</t>
  </si>
  <si>
    <t>Design Point Flow (GPM)</t>
  </si>
  <si>
    <t>Design Point HP</t>
  </si>
  <si>
    <t>Design Point Wire / Water Eff</t>
  </si>
  <si>
    <t>Design Point $$ / 1000 Gallons</t>
  </si>
  <si>
    <t>Design Point Head (ft)</t>
  </si>
  <si>
    <t>Design Point Efficiency</t>
  </si>
  <si>
    <t>BEP Efficiency</t>
  </si>
  <si>
    <t>Motor Efficiency</t>
  </si>
  <si>
    <t>Design Point Discharge Head</t>
  </si>
  <si>
    <t>BEP Discharge Head</t>
  </si>
  <si>
    <t>3, 9</t>
  </si>
  <si>
    <t>4, 9</t>
  </si>
  <si>
    <t>Trimmed Impeller Flow %</t>
  </si>
  <si>
    <t>Trimmed Impeller Head %</t>
  </si>
  <si>
    <t>Higher / Lower RPM Flow %</t>
  </si>
  <si>
    <t>Higher / Lower RPM Head %</t>
  </si>
  <si>
    <t>Discharge Gauge Pressure (PSI)</t>
  </si>
  <si>
    <t>Suction Pipe ID (in)</t>
  </si>
  <si>
    <t>6, 17</t>
  </si>
  <si>
    <t>1, 3, 5, 14, 17</t>
  </si>
  <si>
    <t>2, 4, 6, 14, 17</t>
  </si>
  <si>
    <t>Motor HP</t>
  </si>
  <si>
    <t>Motor RPM</t>
  </si>
  <si>
    <t>Motor Torque</t>
  </si>
  <si>
    <t>Gauge Elevation Above Suction (ft)</t>
  </si>
  <si>
    <t>Motor HP (From Torque)</t>
  </si>
  <si>
    <t>Motor HP (Single Phase)</t>
  </si>
  <si>
    <t>Motor HP ( Three Phase)</t>
  </si>
  <si>
    <r>
      <t>Motor Temp Rise (</t>
    </r>
    <r>
      <rPr>
        <sz val="11"/>
        <color theme="1"/>
        <rFont val="Calibri"/>
        <family val="2"/>
      </rPr>
      <t>⁰C)</t>
    </r>
  </si>
  <si>
    <t>Suction Specific Speed (US)</t>
  </si>
  <si>
    <t>Suction Specific Speed (SI))</t>
  </si>
  <si>
    <t>Required Data</t>
  </si>
  <si>
    <t>Design Point kW / 1000 Gallons</t>
  </si>
  <si>
    <t>BEP kW / 1000 Gallons</t>
  </si>
  <si>
    <t>Pump Flow</t>
  </si>
  <si>
    <t>Gauge Pressure in Feet</t>
  </si>
  <si>
    <t>Pipe ID At Gauge (in)</t>
  </si>
  <si>
    <t>Pump Efficiency</t>
  </si>
  <si>
    <t>Suction Velocity (fps)</t>
  </si>
  <si>
    <t>Suction Velocity Head (ft)</t>
  </si>
  <si>
    <t>Discharge Velocity (fps)</t>
  </si>
  <si>
    <t>Discharge Velocity Head (ft)</t>
  </si>
  <si>
    <t>Total Discharge Head (ft)</t>
  </si>
  <si>
    <t>Motor PF</t>
  </si>
  <si>
    <t>Pump  Water HP</t>
  </si>
  <si>
    <t>Motor BHP</t>
  </si>
  <si>
    <t>Motor Voltage (Ave)</t>
  </si>
  <si>
    <t>Motor Amps (Ave)</t>
  </si>
  <si>
    <t>Pump Field Test Data</t>
  </si>
  <si>
    <t>Catalog &amp; Design Data</t>
  </si>
  <si>
    <t>Field Test Results</t>
  </si>
  <si>
    <t>Catalog &amp; Design Results</t>
  </si>
  <si>
    <t>Motor Power Factor (dec)</t>
  </si>
  <si>
    <t>Motor kVA</t>
  </si>
  <si>
    <t>Motor kW</t>
  </si>
  <si>
    <t>Motor Amps (P2)</t>
  </si>
  <si>
    <t>Motor Amps (P3)</t>
  </si>
  <si>
    <t>Motor Voltage (P2)</t>
  </si>
  <si>
    <t>Motor Voltage (P3)</t>
  </si>
  <si>
    <t>Average Voltage</t>
  </si>
  <si>
    <t>21, 24</t>
  </si>
  <si>
    <t>21, 23</t>
  </si>
  <si>
    <t>Pipe Type</t>
  </si>
  <si>
    <t>C Range</t>
  </si>
  <si>
    <t>C Average</t>
  </si>
  <si>
    <t>Commonly Used</t>
  </si>
  <si>
    <t>Cast / Ductile Iron - New</t>
  </si>
  <si>
    <t>150 - 80</t>
  </si>
  <si>
    <t>Cast Iron 10 years old</t>
  </si>
  <si>
    <t>113 - 107</t>
  </si>
  <si>
    <t>Cast Iron 20 years old</t>
  </si>
  <si>
    <t>100 - 89</t>
  </si>
  <si>
    <t>Cast Iron 30 years old</t>
  </si>
  <si>
    <t>75 - 90</t>
  </si>
  <si>
    <t>Cast Iron 40 years old</t>
  </si>
  <si>
    <t>83 - 64</t>
  </si>
  <si>
    <t>Tar Coated Cast Iron</t>
  </si>
  <si>
    <t>145 - 50</t>
  </si>
  <si>
    <t>Steel - New</t>
  </si>
  <si>
    <t>Corrugated Steel</t>
  </si>
  <si>
    <t>Cement Lined Iron / Steel</t>
  </si>
  <si>
    <t>160 - 130</t>
  </si>
  <si>
    <t>Asphalt Lined Iron / Steel</t>
  </si>
  <si>
    <t>140 - 130</t>
  </si>
  <si>
    <t>Copper, Brass, Lead, Glass</t>
  </si>
  <si>
    <t>150 - 120</t>
  </si>
  <si>
    <t>Aluminum</t>
  </si>
  <si>
    <t>150 - 130</t>
  </si>
  <si>
    <t>Concrete</t>
  </si>
  <si>
    <t>152 - 85</t>
  </si>
  <si>
    <t>Asbestos Cement</t>
  </si>
  <si>
    <t>PVC</t>
  </si>
  <si>
    <t>160 - 150</t>
  </si>
  <si>
    <t>PE</t>
  </si>
  <si>
    <t>Pipe Segment 1</t>
  </si>
  <si>
    <t>Flow Rate (GPM)</t>
  </si>
  <si>
    <t>Pipe ID (Inches)</t>
  </si>
  <si>
    <t>Pipe Length (Feet)</t>
  </si>
  <si>
    <t>Hazen &amp; Williams C Value</t>
  </si>
  <si>
    <t>Pipe Segment 2</t>
  </si>
  <si>
    <t>Pipe Segment 3</t>
  </si>
  <si>
    <t>Velocity in Ft/sec</t>
  </si>
  <si>
    <t>Velocity Head in Ft</t>
  </si>
  <si>
    <t>Friction / 100 Feet of Pipe</t>
  </si>
  <si>
    <t>Total Friction Losses 1 &amp; 2</t>
  </si>
  <si>
    <t>Total Friction Losses 1, 2 &amp; 3</t>
  </si>
  <si>
    <t>Hazen &amp; Williams C Values</t>
  </si>
  <si>
    <t>Calculated Results</t>
  </si>
  <si>
    <t>Calculated Test Results</t>
  </si>
  <si>
    <t>Motor Field Test Data</t>
  </si>
  <si>
    <t>Motor Voltage (P1)</t>
  </si>
  <si>
    <t>Motor Amps (P1)</t>
  </si>
  <si>
    <t>Motor Torque (Single Phase)</t>
  </si>
  <si>
    <t>Motor Torque (Three Phase)</t>
  </si>
  <si>
    <t>Power Cost / kWH</t>
  </si>
  <si>
    <t>Motor Voltage (Single Phase)</t>
  </si>
  <si>
    <t>Motor Voltage (Three Phase)</t>
  </si>
  <si>
    <t>Motor Amps (Single Phase)</t>
  </si>
  <si>
    <t>Motor Amps (Three Phase)</t>
  </si>
  <si>
    <t>Motor Torque (From HP)</t>
  </si>
  <si>
    <t>Available HP (+ SF)</t>
  </si>
  <si>
    <t>Segment 1 Friction</t>
  </si>
  <si>
    <t>Segment 2 Friction</t>
  </si>
  <si>
    <t>Segment 3 Friction</t>
  </si>
  <si>
    <t>Reynolds Number</t>
  </si>
  <si>
    <t>1, 2</t>
  </si>
  <si>
    <t>4, 6, 8, 9</t>
  </si>
  <si>
    <t>4, 6, 8, 9, 10</t>
  </si>
  <si>
    <t>Average Current</t>
  </si>
  <si>
    <t>Voltage Deviation P1</t>
  </si>
  <si>
    <t>Voltage Deviation P3</t>
  </si>
  <si>
    <t>Voltage Deviation P2</t>
  </si>
  <si>
    <t>Current Deviation P1</t>
  </si>
  <si>
    <t>Current Deviation P2</t>
  </si>
  <si>
    <t>Current Deviation P3</t>
  </si>
  <si>
    <t>Motor Service Factor (dec)</t>
  </si>
  <si>
    <t>13 - 15</t>
  </si>
  <si>
    <t>16 - 18</t>
  </si>
  <si>
    <r>
      <t>Data Input (Water 60</t>
    </r>
    <r>
      <rPr>
        <b/>
        <sz val="14"/>
        <color rgb="FF0000FF"/>
        <rFont val="Calibri"/>
        <family val="2"/>
      </rPr>
      <t>⁰ F</t>
    </r>
    <r>
      <rPr>
        <b/>
        <sz val="14"/>
        <color rgb="FF0000FF"/>
        <rFont val="Calibri"/>
        <family val="2"/>
        <scheme val="minor"/>
      </rPr>
      <t>)</t>
    </r>
  </si>
  <si>
    <t>Number of Eyes (1 or 2)</t>
  </si>
  <si>
    <t>19 - 28</t>
  </si>
  <si>
    <t>25 - 28</t>
  </si>
  <si>
    <t>19 - 23</t>
  </si>
  <si>
    <t>10, 11</t>
  </si>
  <si>
    <t>15, 16</t>
  </si>
  <si>
    <r>
      <t>Minimum Acceptable Flow</t>
    </r>
    <r>
      <rPr>
        <sz val="11"/>
        <color rgb="FF0000FF"/>
        <rFont val="Calibri"/>
        <family val="2"/>
        <scheme val="minor"/>
      </rPr>
      <t>*</t>
    </r>
  </si>
  <si>
    <r>
      <t>Minimum Preferred Flow</t>
    </r>
    <r>
      <rPr>
        <sz val="11"/>
        <color rgb="FF0000FF"/>
        <rFont val="Calibri"/>
        <family val="2"/>
        <scheme val="minor"/>
      </rPr>
      <t>*</t>
    </r>
  </si>
  <si>
    <r>
      <t>Maximum Acceptable Flow</t>
    </r>
    <r>
      <rPr>
        <sz val="11"/>
        <color rgb="FF0000FF"/>
        <rFont val="Calibri"/>
        <family val="2"/>
        <scheme val="minor"/>
      </rPr>
      <t>*</t>
    </r>
  </si>
  <si>
    <r>
      <t>Maximum Preferred Flow</t>
    </r>
    <r>
      <rPr>
        <sz val="11"/>
        <color rgb="FF0000FF"/>
        <rFont val="Calibri"/>
        <family val="2"/>
        <scheme val="minor"/>
      </rPr>
      <t>*</t>
    </r>
  </si>
  <si>
    <t>http://www.lawrencepumps.com/Newsletter/news_v03_i2_Feb06.html</t>
  </si>
  <si>
    <t>Motor kVA (Single Phase)</t>
  </si>
  <si>
    <t>Motor kVA (Three Phase)</t>
  </si>
  <si>
    <t>Motor kW (Single Phase)</t>
  </si>
  <si>
    <t>Motor kW (Three Phase)</t>
  </si>
  <si>
    <t>$$ / Hour (Single Phase)</t>
  </si>
  <si>
    <t>$$ / Hour (Three Phase)</t>
  </si>
  <si>
    <t>Voltage Unbalance</t>
  </si>
  <si>
    <t>Current Unbalance</t>
  </si>
  <si>
    <t>$$ / Hour</t>
  </si>
  <si>
    <t>13 - 19</t>
  </si>
  <si>
    <t>13 - 20</t>
  </si>
  <si>
    <t>13 - 18</t>
  </si>
  <si>
    <t>* Based on Suction Specific Speed.  See reference below.</t>
  </si>
  <si>
    <t>2, 7, 13, 15</t>
  </si>
  <si>
    <t>2, 7, 12, 13, 14, 15</t>
  </si>
  <si>
    <t>5, 17</t>
  </si>
  <si>
    <t>1, 3, 5, 14, 17, 18</t>
  </si>
  <si>
    <t>2, 4, 6, 14, 17, 10</t>
  </si>
  <si>
    <t>4, 5</t>
  </si>
  <si>
    <t>5, 7, 8, 9</t>
  </si>
  <si>
    <t>5, 7, 8, 9, 10</t>
  </si>
  <si>
    <t>2, 4, 6, 8, 9</t>
  </si>
  <si>
    <t>2, 5, 7, 8, 9</t>
  </si>
  <si>
    <t>4, 6</t>
  </si>
  <si>
    <t>5, 7</t>
  </si>
  <si>
    <t>4, 6, 9</t>
  </si>
  <si>
    <t>5, 7, 9</t>
  </si>
  <si>
    <t>4, 6, 9, 12</t>
  </si>
  <si>
    <t>5, 7, 9, 12</t>
  </si>
  <si>
    <t>Piping segments can be in series or branch nodes.  The example shows the results when</t>
  </si>
  <si>
    <t>segments 2 and 3 branch off segment 1.</t>
  </si>
  <si>
    <t>Enter the catalog or design data in yellow cells F3 - F20 (1 - 18).  Enter field test data in cells F22 - F31 (19 - 28).</t>
  </si>
  <si>
    <t>Catalog and design calculations will appear in cells K3 - K25.  The blue numbers to the right of these cells are</t>
  </si>
  <si>
    <t>the data required for the calculations (the blue numbers in column A).  If required data is not entered the</t>
  </si>
  <si>
    <t>resulting calculation will be incorrect.  Field test calculations will appear in cells S3 - S11.  The blue numbers</t>
  </si>
  <si>
    <t>to the right of these cells are the data required for the calculations (the blue numbers in column A).  If any</t>
  </si>
  <si>
    <t>required data in not entered the resulting calculation will be incorrect.</t>
  </si>
  <si>
    <t>Enter the catalog or design data in yellow cells E3 - E20 (1 - 14).  Enter field test data in cells E16 - E23 (13 -20).</t>
  </si>
  <si>
    <t>resulting calculation will be incorrect.  Field test calculations will appear in cells R3 - R16.  The blue numbers</t>
  </si>
  <si>
    <t>Catalog and design calculations will appear in cells J3 - J16.  The blue numbers to the right of these cells are</t>
  </si>
  <si>
    <t>For a more comprehensive calculator, download my Pipe &amp; Fittings Calculator.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</si>
</sst>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&quot;$&quot;#,##0.00"/>
    <numFmt numFmtId="166" formatCode="0.000"/>
    <numFmt numFmtId="167" formatCode="0.0%"/>
  </numFmts>
  <fonts count="9">
    <font>
      <sz val="11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theme="1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FF"/>
      <name val="Calibri"/>
      <family val="2"/>
    </font>
    <font>
      <u/>
      <sz val="11"/>
      <color theme="10"/>
      <name val="Calibri"/>
      <family val="2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/>
    <xf numFmtId="2" fontId="0" fillId="2" borderId="1" xfId="0" applyNumberFormat="1" applyFill="1" applyBorder="1"/>
    <xf numFmtId="1" fontId="0" fillId="2" borderId="1" xfId="0" applyNumberFormat="1" applyFill="1" applyBorder="1"/>
    <xf numFmtId="9" fontId="0" fillId="2" borderId="1" xfId="0" applyNumberFormat="1" applyFill="1" applyBorder="1"/>
    <xf numFmtId="9" fontId="0" fillId="0" borderId="0" xfId="0" applyNumberFormat="1"/>
    <xf numFmtId="165" fontId="0" fillId="0" borderId="0" xfId="0" applyNumberFormat="1"/>
    <xf numFmtId="2" fontId="0" fillId="3" borderId="0" xfId="0" applyNumberFormat="1" applyFill="1" applyBorder="1"/>
    <xf numFmtId="0" fontId="3" fillId="0" borderId="0" xfId="0" applyFont="1"/>
    <xf numFmtId="1" fontId="0" fillId="0" borderId="1" xfId="0" applyNumberFormat="1" applyBorder="1"/>
    <xf numFmtId="3" fontId="0" fillId="0" borderId="1" xfId="0" applyNumberFormat="1" applyBorder="1"/>
    <xf numFmtId="164" fontId="0" fillId="0" borderId="1" xfId="0" applyNumberFormat="1" applyBorder="1"/>
    <xf numFmtId="9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3" fillId="0" borderId="0" xfId="0" applyFont="1" applyAlignment="1">
      <alignment horizontal="center"/>
    </xf>
    <xf numFmtId="164" fontId="0" fillId="3" borderId="1" xfId="0" applyNumberFormat="1" applyFill="1" applyBorder="1"/>
    <xf numFmtId="9" fontId="0" fillId="3" borderId="1" xfId="0" applyNumberFormat="1" applyFill="1" applyBorder="1"/>
    <xf numFmtId="164" fontId="0" fillId="2" borderId="1" xfId="0" applyNumberFormat="1" applyFill="1" applyBorder="1"/>
    <xf numFmtId="0" fontId="4" fillId="0" borderId="0" xfId="0" applyFont="1"/>
    <xf numFmtId="1" fontId="3" fillId="0" borderId="0" xfId="0" applyNumberFormat="1" applyFont="1"/>
    <xf numFmtId="1" fontId="1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1" xfId="0" applyFill="1" applyBorder="1"/>
    <xf numFmtId="0" fontId="5" fillId="0" borderId="0" xfId="0" applyFont="1"/>
    <xf numFmtId="0" fontId="1" fillId="0" borderId="0" xfId="0" applyFont="1" applyAlignment="1">
      <alignment horizontal="left"/>
    </xf>
    <xf numFmtId="1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6" fontId="0" fillId="0" borderId="1" xfId="0" applyNumberFormat="1" applyBorder="1"/>
    <xf numFmtId="167" fontId="0" fillId="0" borderId="1" xfId="0" applyNumberFormat="1" applyBorder="1"/>
    <xf numFmtId="0" fontId="0" fillId="0" borderId="0" xfId="0" applyNumberFormat="1"/>
    <xf numFmtId="1" fontId="0" fillId="0" borderId="0" xfId="0" applyNumberFormat="1" applyBorder="1"/>
    <xf numFmtId="1" fontId="0" fillId="3" borderId="0" xfId="0" applyNumberFormat="1" applyFill="1" applyBorder="1"/>
    <xf numFmtId="167" fontId="0" fillId="0" borderId="0" xfId="0" applyNumberFormat="1" applyBorder="1"/>
    <xf numFmtId="164" fontId="0" fillId="0" borderId="0" xfId="0" applyNumberFormat="1" applyBorder="1"/>
    <xf numFmtId="0" fontId="0" fillId="0" borderId="0" xfId="0" applyBorder="1"/>
    <xf numFmtId="1" fontId="3" fillId="0" borderId="0" xfId="0" applyNumberFormat="1" applyFont="1" applyBorder="1"/>
    <xf numFmtId="0" fontId="3" fillId="0" borderId="0" xfId="0" applyFont="1" applyBorder="1"/>
    <xf numFmtId="0" fontId="7" fillId="0" borderId="0" xfId="1" applyAlignment="1" applyProtection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/>
    <xf numFmtId="9" fontId="0" fillId="2" borderId="0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533400</xdr:colOff>
      <xdr:row>14</xdr:row>
      <xdr:rowOff>38100</xdr:rowOff>
    </xdr:from>
    <xdr:to>
      <xdr:col>21</xdr:col>
      <xdr:colOff>40267</xdr:colOff>
      <xdr:row>18</xdr:row>
      <xdr:rowOff>171450</xdr:rowOff>
    </xdr:to>
    <xdr:pic>
      <xdr:nvPicPr>
        <xdr:cNvPr id="2" name="Picture 1" descr="Pumptech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10575" y="2752725"/>
          <a:ext cx="2869192" cy="895350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  <xdr:oneCellAnchor>
    <xdr:from>
      <xdr:col>16</xdr:col>
      <xdr:colOff>352425</xdr:colOff>
      <xdr:row>19</xdr:row>
      <xdr:rowOff>57150</xdr:rowOff>
    </xdr:from>
    <xdr:ext cx="2014847" cy="311496"/>
    <xdr:sp macro="" textlink="">
      <xdr:nvSpPr>
        <xdr:cNvPr id="3" name="TextBox 2"/>
        <xdr:cNvSpPr txBox="1"/>
      </xdr:nvSpPr>
      <xdr:spPr>
        <a:xfrm>
          <a:off x="8839200" y="3724275"/>
          <a:ext cx="201484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400" b="1">
              <a:solidFill>
                <a:srgbClr val="0000FF"/>
              </a:solidFill>
            </a:rPr>
            <a:t>www.PumpTechnw.com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wrencepumps.com/Newsletter/news_v03_i2_Feb06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5"/>
  <sheetViews>
    <sheetView tabSelected="1" workbookViewId="0">
      <selection activeCell="F3" sqref="F3"/>
    </sheetView>
  </sheetViews>
  <sheetFormatPr defaultRowHeight="15"/>
  <cols>
    <col min="1" max="1" width="4.7109375" style="44" customWidth="1"/>
    <col min="5" max="5" width="4.7109375" style="1" customWidth="1"/>
    <col min="6" max="6" width="9.140625" style="3"/>
    <col min="7" max="7" width="4.7109375" customWidth="1"/>
    <col min="8" max="8" width="9.7109375" customWidth="1"/>
    <col min="11" max="11" width="11.7109375" customWidth="1"/>
    <col min="12" max="12" width="4.7109375" customWidth="1"/>
    <col min="13" max="14" width="9.140625" style="10"/>
    <col min="15" max="15" width="4.7109375" customWidth="1"/>
    <col min="19" max="19" width="9.140625" style="3"/>
    <col min="20" max="20" width="4.7109375" customWidth="1"/>
    <col min="21" max="21" width="9.140625" style="24"/>
    <col min="22" max="22" width="9.140625" style="10"/>
  </cols>
  <sheetData>
    <row r="1" spans="1:21" ht="18.75" customHeight="1">
      <c r="B1" s="2" t="s">
        <v>1</v>
      </c>
      <c r="H1" s="2" t="s">
        <v>75</v>
      </c>
      <c r="M1" s="2" t="s">
        <v>55</v>
      </c>
      <c r="P1" s="2" t="s">
        <v>74</v>
      </c>
      <c r="U1" s="23" t="s">
        <v>55</v>
      </c>
    </row>
    <row r="2" spans="1:21">
      <c r="B2" s="21" t="s">
        <v>73</v>
      </c>
    </row>
    <row r="3" spans="1:21">
      <c r="A3" s="44">
        <v>1</v>
      </c>
      <c r="B3" t="s">
        <v>24</v>
      </c>
      <c r="F3" s="5">
        <v>1800</v>
      </c>
      <c r="H3" t="s">
        <v>7</v>
      </c>
      <c r="K3" s="11">
        <f>F17*SQRT(F4)/F6^0.75</f>
        <v>2206.4722771524284</v>
      </c>
      <c r="M3" s="22" t="s">
        <v>14</v>
      </c>
      <c r="N3" s="22"/>
      <c r="P3" t="s">
        <v>59</v>
      </c>
      <c r="S3" s="18">
        <f>F22*2.31</f>
        <v>101.64</v>
      </c>
      <c r="U3" s="24">
        <v>19</v>
      </c>
    </row>
    <row r="4" spans="1:21">
      <c r="A4" s="44">
        <v>2</v>
      </c>
      <c r="B4" t="s">
        <v>2</v>
      </c>
      <c r="F4" s="5">
        <v>2000</v>
      </c>
      <c r="H4" t="s">
        <v>53</v>
      </c>
      <c r="K4" s="11">
        <f>F17*SQRT(F4/F15)/F9^0.75</f>
        <v>14314.87311780691</v>
      </c>
      <c r="L4" s="3"/>
      <c r="M4" s="22" t="s">
        <v>187</v>
      </c>
      <c r="N4" s="22"/>
      <c r="P4" t="s">
        <v>62</v>
      </c>
      <c r="S4" s="18">
        <f>(F24*0.4085)/F27^2</f>
        <v>6.8083333333333336</v>
      </c>
      <c r="U4" s="24" t="s">
        <v>84</v>
      </c>
    </row>
    <row r="5" spans="1:21">
      <c r="A5" s="44">
        <v>3</v>
      </c>
      <c r="B5" t="s">
        <v>28</v>
      </c>
      <c r="F5" s="5">
        <v>121</v>
      </c>
      <c r="H5" t="s">
        <v>54</v>
      </c>
      <c r="K5" s="11">
        <f>K4/51.64</f>
        <v>277.20513396217876</v>
      </c>
      <c r="L5" s="3"/>
      <c r="M5" s="22" t="s">
        <v>187</v>
      </c>
      <c r="N5" s="22"/>
      <c r="P5" t="s">
        <v>63</v>
      </c>
      <c r="S5" s="18">
        <f>S4^2/64.4</f>
        <v>0.71977333505866115</v>
      </c>
      <c r="U5" s="24" t="s">
        <v>84</v>
      </c>
    </row>
    <row r="6" spans="1:21">
      <c r="A6" s="44">
        <v>4</v>
      </c>
      <c r="B6" t="s">
        <v>3</v>
      </c>
      <c r="F6" s="5">
        <v>121</v>
      </c>
      <c r="H6" t="s">
        <v>8</v>
      </c>
      <c r="K6" s="12">
        <f>F14*K4*F17*F16</f>
        <v>185520755.60677755</v>
      </c>
      <c r="M6" s="22" t="s">
        <v>188</v>
      </c>
      <c r="N6" s="22"/>
      <c r="P6" t="s">
        <v>64</v>
      </c>
      <c r="S6" s="18">
        <f>(F24*0.4085)/F26^2</f>
        <v>15.31875</v>
      </c>
      <c r="U6" s="24" t="s">
        <v>85</v>
      </c>
    </row>
    <row r="7" spans="1:21">
      <c r="A7" s="44">
        <v>5</v>
      </c>
      <c r="B7" t="s">
        <v>29</v>
      </c>
      <c r="F7" s="6">
        <v>0.8</v>
      </c>
      <c r="H7" t="s">
        <v>17</v>
      </c>
      <c r="K7" s="13">
        <f>F10/F9</f>
        <v>2.2000000000000002</v>
      </c>
      <c r="M7" s="22" t="s">
        <v>18</v>
      </c>
      <c r="N7" s="22"/>
      <c r="P7" t="s">
        <v>65</v>
      </c>
      <c r="S7" s="18">
        <f>S6^2/64.4</f>
        <v>3.6438525087344713</v>
      </c>
      <c r="U7" s="24" t="s">
        <v>85</v>
      </c>
    </row>
    <row r="8" spans="1:21">
      <c r="A8" s="44">
        <v>6</v>
      </c>
      <c r="B8" t="s">
        <v>30</v>
      </c>
      <c r="F8" s="6">
        <v>0.85</v>
      </c>
      <c r="H8" t="s">
        <v>32</v>
      </c>
      <c r="K8" s="11">
        <f>F5+F11</f>
        <v>126</v>
      </c>
      <c r="M8" s="22" t="s">
        <v>34</v>
      </c>
      <c r="N8" s="22"/>
      <c r="P8" t="s">
        <v>66</v>
      </c>
      <c r="S8" s="18">
        <f>S3+F23-S5+S7</f>
        <v>107.56407917367581</v>
      </c>
      <c r="U8" s="24" t="s">
        <v>166</v>
      </c>
    </row>
    <row r="9" spans="1:21">
      <c r="A9" s="44">
        <v>7</v>
      </c>
      <c r="B9" t="s">
        <v>12</v>
      </c>
      <c r="F9" s="5">
        <v>10</v>
      </c>
      <c r="H9" t="s">
        <v>33</v>
      </c>
      <c r="K9" s="11">
        <f>F6+F11</f>
        <v>126</v>
      </c>
      <c r="M9" s="22" t="s">
        <v>35</v>
      </c>
      <c r="N9" s="22"/>
      <c r="P9" t="s">
        <v>68</v>
      </c>
      <c r="S9" s="18">
        <f>(F24*S8*F25)/3960</f>
        <v>16.297587753587244</v>
      </c>
      <c r="U9" s="24" t="s">
        <v>166</v>
      </c>
    </row>
    <row r="10" spans="1:21">
      <c r="A10" s="44">
        <v>8</v>
      </c>
      <c r="B10" t="s">
        <v>13</v>
      </c>
      <c r="F10" s="5">
        <v>22</v>
      </c>
      <c r="H10" t="s">
        <v>169</v>
      </c>
      <c r="K10" s="11">
        <f>(((0.2125*K5)+25.579)*F4)/100</f>
        <v>1689.7018193392598</v>
      </c>
      <c r="M10" s="22" t="s">
        <v>187</v>
      </c>
      <c r="N10" s="22"/>
      <c r="P10" t="s">
        <v>69</v>
      </c>
      <c r="S10" s="18">
        <f>(1.732*F28*F29*F31*F30)/746</f>
        <v>25.46353431635389</v>
      </c>
      <c r="U10" s="24" t="s">
        <v>165</v>
      </c>
    </row>
    <row r="11" spans="1:21">
      <c r="A11" s="44">
        <v>9</v>
      </c>
      <c r="B11" t="s">
        <v>4</v>
      </c>
      <c r="F11" s="5">
        <v>5</v>
      </c>
      <c r="H11" t="s">
        <v>170</v>
      </c>
      <c r="K11" s="11">
        <f>(((0.1321*K5)+59.533)*F4)/100</f>
        <v>1923.0359639280764</v>
      </c>
      <c r="M11" s="22" t="s">
        <v>187</v>
      </c>
      <c r="N11" s="22"/>
      <c r="P11" t="s">
        <v>61</v>
      </c>
      <c r="S11" s="19">
        <f>S9/S10</f>
        <v>0.64003635752638466</v>
      </c>
      <c r="U11" s="24" t="s">
        <v>164</v>
      </c>
    </row>
    <row r="12" spans="1:21">
      <c r="A12" s="44">
        <v>10</v>
      </c>
      <c r="B12" t="s">
        <v>5</v>
      </c>
      <c r="F12" s="5">
        <v>10</v>
      </c>
      <c r="H12" t="s">
        <v>171</v>
      </c>
      <c r="K12" s="11">
        <f>(((-0.1228*K5)+140.7)*F4)/100</f>
        <v>2133.1841909888885</v>
      </c>
      <c r="M12" s="22" t="s">
        <v>187</v>
      </c>
      <c r="N12" s="22"/>
    </row>
    <row r="13" spans="1:21">
      <c r="A13" s="44">
        <v>11</v>
      </c>
      <c r="B13" t="s">
        <v>9</v>
      </c>
      <c r="F13" s="5">
        <v>9</v>
      </c>
      <c r="H13" t="s">
        <v>172</v>
      </c>
      <c r="K13" s="11">
        <f>(((-0.0513*K5)+116.7)*F4)/100</f>
        <v>2049.5875325548045</v>
      </c>
      <c r="M13" s="22" t="s">
        <v>187</v>
      </c>
      <c r="N13" s="22"/>
    </row>
    <row r="14" spans="1:21">
      <c r="A14" s="44">
        <v>12</v>
      </c>
      <c r="B14" t="s">
        <v>6</v>
      </c>
      <c r="F14" s="4">
        <v>7.2</v>
      </c>
      <c r="H14" t="s">
        <v>36</v>
      </c>
      <c r="K14" s="14">
        <f>F13/F12</f>
        <v>0.9</v>
      </c>
      <c r="M14" s="22" t="s">
        <v>167</v>
      </c>
      <c r="N14" s="22"/>
    </row>
    <row r="15" spans="1:21">
      <c r="A15" s="44">
        <v>13</v>
      </c>
      <c r="B15" t="s">
        <v>163</v>
      </c>
      <c r="F15" s="5">
        <v>1</v>
      </c>
      <c r="H15" t="s">
        <v>37</v>
      </c>
      <c r="K15" s="14">
        <f>(F13/F12)^2</f>
        <v>0.81</v>
      </c>
      <c r="M15" s="22" t="s">
        <v>167</v>
      </c>
      <c r="N15" s="22"/>
    </row>
    <row r="16" spans="1:21">
      <c r="A16" s="44">
        <v>14</v>
      </c>
      <c r="B16" t="s">
        <v>15</v>
      </c>
      <c r="F16" s="5">
        <v>1</v>
      </c>
      <c r="H16" t="s">
        <v>38</v>
      </c>
      <c r="K16" s="14">
        <f>F18/F17</f>
        <v>0.94444444444444442</v>
      </c>
      <c r="M16" s="22" t="s">
        <v>168</v>
      </c>
      <c r="N16" s="22"/>
    </row>
    <row r="17" spans="1:14">
      <c r="A17" s="44">
        <v>15</v>
      </c>
      <c r="B17" t="s">
        <v>10</v>
      </c>
      <c r="F17" s="5">
        <v>1800</v>
      </c>
      <c r="H17" t="s">
        <v>39</v>
      </c>
      <c r="K17" s="14">
        <f>(F18/F17)^2</f>
        <v>0.89197530864197527</v>
      </c>
      <c r="M17" s="22" t="s">
        <v>168</v>
      </c>
      <c r="N17" s="22"/>
    </row>
    <row r="18" spans="1:14">
      <c r="A18" s="44">
        <v>16</v>
      </c>
      <c r="B18" t="s">
        <v>11</v>
      </c>
      <c r="F18" s="5">
        <v>1700</v>
      </c>
      <c r="H18" t="s">
        <v>25</v>
      </c>
      <c r="K18" s="11">
        <f>(((F3*F5)/3960)/F7)*F16</f>
        <v>68.75</v>
      </c>
      <c r="M18" s="22" t="s">
        <v>20</v>
      </c>
      <c r="N18" s="22"/>
    </row>
    <row r="19" spans="1:14">
      <c r="A19" s="44">
        <v>17</v>
      </c>
      <c r="B19" t="s">
        <v>31</v>
      </c>
      <c r="F19" s="6">
        <v>0.93</v>
      </c>
      <c r="H19" t="s">
        <v>16</v>
      </c>
      <c r="K19" s="11">
        <f>(((F4*F6)/3960)/F8)*F16</f>
        <v>71.895424836601308</v>
      </c>
      <c r="M19" s="22" t="s">
        <v>21</v>
      </c>
      <c r="N19" s="22"/>
    </row>
    <row r="20" spans="1:14">
      <c r="A20" s="44">
        <v>18</v>
      </c>
      <c r="B20" t="s">
        <v>23</v>
      </c>
      <c r="F20" s="4">
        <v>0.1</v>
      </c>
      <c r="H20" t="s">
        <v>26</v>
      </c>
      <c r="K20" s="14">
        <f>F7*F19</f>
        <v>0.74400000000000011</v>
      </c>
      <c r="M20" s="22" t="s">
        <v>189</v>
      </c>
      <c r="N20" s="22"/>
    </row>
    <row r="21" spans="1:14">
      <c r="B21" s="21" t="s">
        <v>72</v>
      </c>
      <c r="F21" s="9"/>
      <c r="H21" t="s">
        <v>19</v>
      </c>
      <c r="K21" s="14">
        <f>F8*F19</f>
        <v>0.79049999999999998</v>
      </c>
      <c r="M21" s="22" t="s">
        <v>42</v>
      </c>
      <c r="N21" s="22"/>
    </row>
    <row r="22" spans="1:14">
      <c r="A22" s="44">
        <v>19</v>
      </c>
      <c r="B22" t="s">
        <v>40</v>
      </c>
      <c r="F22" s="5">
        <v>44</v>
      </c>
      <c r="H22" t="s">
        <v>56</v>
      </c>
      <c r="K22" s="15">
        <f>(1000/F3)*(0.746*(K18/F19))/60</f>
        <v>0.51062823576264438</v>
      </c>
      <c r="M22" s="22" t="s">
        <v>43</v>
      </c>
      <c r="N22" s="22"/>
    </row>
    <row r="23" spans="1:14">
      <c r="A23" s="44">
        <v>20</v>
      </c>
      <c r="B23" t="s">
        <v>48</v>
      </c>
      <c r="F23" s="5">
        <v>3</v>
      </c>
      <c r="H23" t="s">
        <v>57</v>
      </c>
      <c r="K23" s="15">
        <f>(1000/F4)*(0.746*(K19/F19))/60</f>
        <v>0.48059128071778295</v>
      </c>
      <c r="M23" s="22" t="s">
        <v>44</v>
      </c>
      <c r="N23" s="22"/>
    </row>
    <row r="24" spans="1:14">
      <c r="A24" s="44">
        <v>21</v>
      </c>
      <c r="B24" t="s">
        <v>58</v>
      </c>
      <c r="F24" s="5">
        <v>600</v>
      </c>
      <c r="H24" t="s">
        <v>27</v>
      </c>
      <c r="K24" s="16">
        <f>F20*K22</f>
        <v>5.1062823576264439E-2</v>
      </c>
      <c r="M24" s="22" t="s">
        <v>190</v>
      </c>
      <c r="N24" s="22"/>
    </row>
    <row r="25" spans="1:14">
      <c r="A25" s="44">
        <v>22</v>
      </c>
      <c r="B25" t="s">
        <v>15</v>
      </c>
      <c r="F25" s="5">
        <v>1</v>
      </c>
      <c r="H25" t="s">
        <v>22</v>
      </c>
      <c r="K25" s="16">
        <f>F20*K23</f>
        <v>4.8059128071778298E-2</v>
      </c>
      <c r="M25" s="22" t="s">
        <v>191</v>
      </c>
      <c r="N25" s="22"/>
    </row>
    <row r="26" spans="1:14">
      <c r="A26" s="44">
        <v>23</v>
      </c>
      <c r="B26" t="s">
        <v>60</v>
      </c>
      <c r="F26" s="4">
        <v>4</v>
      </c>
      <c r="K26" s="8"/>
    </row>
    <row r="27" spans="1:14">
      <c r="A27" s="44">
        <v>24</v>
      </c>
      <c r="B27" t="s">
        <v>41</v>
      </c>
      <c r="F27" s="4">
        <v>6</v>
      </c>
      <c r="H27" s="10" t="s">
        <v>205</v>
      </c>
    </row>
    <row r="28" spans="1:14">
      <c r="A28" s="44">
        <v>25</v>
      </c>
      <c r="B28" t="s">
        <v>70</v>
      </c>
      <c r="F28" s="5">
        <v>460</v>
      </c>
      <c r="H28" s="10" t="s">
        <v>206</v>
      </c>
    </row>
    <row r="29" spans="1:14">
      <c r="A29" s="44">
        <v>26</v>
      </c>
      <c r="B29" t="s">
        <v>71</v>
      </c>
      <c r="F29" s="20">
        <v>33</v>
      </c>
      <c r="H29" s="10" t="s">
        <v>207</v>
      </c>
    </row>
    <row r="30" spans="1:14">
      <c r="A30" s="44">
        <v>27</v>
      </c>
      <c r="B30" t="s">
        <v>67</v>
      </c>
      <c r="F30" s="6">
        <v>0.85</v>
      </c>
      <c r="H30" s="10" t="s">
        <v>208</v>
      </c>
    </row>
    <row r="31" spans="1:14">
      <c r="A31" s="44">
        <v>28</v>
      </c>
      <c r="B31" t="s">
        <v>31</v>
      </c>
      <c r="F31" s="6">
        <v>0.85</v>
      </c>
      <c r="H31" s="10" t="s">
        <v>209</v>
      </c>
    </row>
    <row r="32" spans="1:14">
      <c r="F32" s="47"/>
      <c r="H32" s="10" t="s">
        <v>210</v>
      </c>
    </row>
    <row r="33" spans="6:15">
      <c r="F33" s="7"/>
    </row>
    <row r="34" spans="6:15">
      <c r="H34" s="10" t="s">
        <v>186</v>
      </c>
    </row>
    <row r="35" spans="6:15">
      <c r="H35" s="43" t="s">
        <v>173</v>
      </c>
      <c r="I35" s="43"/>
      <c r="J35" s="43"/>
      <c r="K35" s="43"/>
      <c r="L35" s="43"/>
      <c r="M35" s="43"/>
      <c r="N35" s="43"/>
      <c r="O35" s="43"/>
    </row>
  </sheetData>
  <hyperlinks>
    <hyperlink ref="H35:O35" r:id="rId1" display="http://www.lawrencepumps.com/Newsletter/news_v03_i2_Feb06.html"/>
  </hyperlinks>
  <pageMargins left="0.7" right="0.7" top="0.75" bottom="0.75" header="0.3" footer="0.3"/>
  <pageSetup orientation="portrait" horizontalDpi="1200" verticalDpi="1200" r:id="rId2"/>
  <ignoredErrors>
    <ignoredError sqref="M3" twoDigitTextYear="1"/>
    <ignoredError sqref="S6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4"/>
  <sheetViews>
    <sheetView workbookViewId="0">
      <selection activeCell="E3" sqref="E3"/>
    </sheetView>
  </sheetViews>
  <sheetFormatPr defaultRowHeight="15"/>
  <cols>
    <col min="1" max="1" width="4.7109375" style="44" customWidth="1"/>
    <col min="6" max="6" width="4.7109375" customWidth="1"/>
    <col min="11" max="11" width="4.7109375" customWidth="1"/>
    <col min="12" max="13" width="9.140625" style="10"/>
    <col min="14" max="14" width="4.7109375" customWidth="1"/>
    <col min="17" max="17" width="4.7109375" customWidth="1"/>
    <col min="19" max="19" width="4.7109375" customWidth="1"/>
    <col min="20" max="20" width="9.140625" style="10"/>
    <col min="21" max="21" width="0" hidden="1" customWidth="1"/>
  </cols>
  <sheetData>
    <row r="1" spans="1:22" ht="18.75" customHeight="1">
      <c r="B1" s="2" t="s">
        <v>1</v>
      </c>
      <c r="E1" s="3"/>
      <c r="G1" s="2" t="s">
        <v>131</v>
      </c>
      <c r="L1" s="2" t="s">
        <v>55</v>
      </c>
      <c r="O1" s="2" t="s">
        <v>132</v>
      </c>
      <c r="T1" s="2" t="s">
        <v>55</v>
      </c>
    </row>
    <row r="2" spans="1:22">
      <c r="B2" s="21" t="s">
        <v>73</v>
      </c>
    </row>
    <row r="3" spans="1:22">
      <c r="A3" s="44">
        <v>1</v>
      </c>
      <c r="B3" t="s">
        <v>45</v>
      </c>
      <c r="E3" s="5">
        <v>5</v>
      </c>
      <c r="G3" t="s">
        <v>49</v>
      </c>
      <c r="J3" s="13">
        <f>(E5*E4)/5250</f>
        <v>5.0285714285714285</v>
      </c>
      <c r="L3" s="10" t="s">
        <v>192</v>
      </c>
      <c r="O3" t="s">
        <v>83</v>
      </c>
      <c r="R3" s="11">
        <f>(E16+E17+E18)/3</f>
        <v>467</v>
      </c>
      <c r="S3" s="36"/>
      <c r="T3" s="41" t="s">
        <v>160</v>
      </c>
      <c r="V3" s="35"/>
    </row>
    <row r="4" spans="1:22">
      <c r="A4" s="44">
        <v>2</v>
      </c>
      <c r="B4" t="s">
        <v>46</v>
      </c>
      <c r="E4" s="5">
        <v>1760</v>
      </c>
      <c r="G4" t="s">
        <v>143</v>
      </c>
      <c r="J4" s="13">
        <f>(5250*E3)/E4</f>
        <v>14.914772727272727</v>
      </c>
      <c r="L4" s="10" t="s">
        <v>149</v>
      </c>
      <c r="O4" t="s">
        <v>153</v>
      </c>
      <c r="R4" s="11">
        <f>IF(U4&lt;0,U4*-1,U4)</f>
        <v>12</v>
      </c>
      <c r="S4" s="36"/>
      <c r="T4" s="41" t="s">
        <v>160</v>
      </c>
      <c r="U4" s="36">
        <f>E16-R3</f>
        <v>12</v>
      </c>
      <c r="V4" s="35"/>
    </row>
    <row r="5" spans="1:22">
      <c r="A5" s="44">
        <v>3</v>
      </c>
      <c r="B5" t="s">
        <v>47</v>
      </c>
      <c r="E5" s="5">
        <v>15</v>
      </c>
      <c r="G5" t="s">
        <v>50</v>
      </c>
      <c r="J5" s="13">
        <f>(E6*E8*E10*E11)/746</f>
        <v>4.8979825737265408</v>
      </c>
      <c r="L5" s="10" t="s">
        <v>150</v>
      </c>
      <c r="O5" t="s">
        <v>155</v>
      </c>
      <c r="R5" s="11">
        <f>IF(U5&lt;0,U5*-1,U5)</f>
        <v>5</v>
      </c>
      <c r="S5" s="36"/>
      <c r="T5" s="41" t="s">
        <v>160</v>
      </c>
      <c r="U5" s="36">
        <f>E17-R3</f>
        <v>5</v>
      </c>
      <c r="V5" s="35"/>
    </row>
    <row r="6" spans="1:22">
      <c r="A6" s="44">
        <v>4</v>
      </c>
      <c r="B6" t="s">
        <v>139</v>
      </c>
      <c r="E6" s="5">
        <v>230</v>
      </c>
      <c r="G6" t="s">
        <v>144</v>
      </c>
      <c r="J6" s="13">
        <f>J5*E12</f>
        <v>5.6326799597855217</v>
      </c>
      <c r="L6" s="10" t="s">
        <v>151</v>
      </c>
      <c r="O6" t="s">
        <v>154</v>
      </c>
      <c r="R6" s="11">
        <f>IF(U6&lt;0,U6*-1,U6)</f>
        <v>17</v>
      </c>
      <c r="S6" s="36"/>
      <c r="T6" s="41" t="s">
        <v>160</v>
      </c>
      <c r="U6" s="36">
        <f>E18-R3</f>
        <v>-17</v>
      </c>
    </row>
    <row r="7" spans="1:22">
      <c r="A7" s="44">
        <v>5</v>
      </c>
      <c r="B7" t="s">
        <v>140</v>
      </c>
      <c r="E7" s="5">
        <v>230</v>
      </c>
      <c r="G7" t="s">
        <v>51</v>
      </c>
      <c r="J7" s="13">
        <f>(E7*E9*E10*E11*1.732)/746</f>
        <v>2.625785134048257</v>
      </c>
      <c r="L7" s="10" t="s">
        <v>193</v>
      </c>
      <c r="O7" t="s">
        <v>180</v>
      </c>
      <c r="R7" s="34">
        <f>U8/R3</f>
        <v>3.6402569593147749E-2</v>
      </c>
      <c r="S7" s="38"/>
      <c r="T7" s="41" t="s">
        <v>160</v>
      </c>
      <c r="U7">
        <f>IF(R4&lt;R5,R5,R4)</f>
        <v>12</v>
      </c>
    </row>
    <row r="8" spans="1:22">
      <c r="A8" s="44">
        <v>6</v>
      </c>
      <c r="B8" t="s">
        <v>141</v>
      </c>
      <c r="E8" s="20">
        <v>21</v>
      </c>
      <c r="G8" t="s">
        <v>144</v>
      </c>
      <c r="J8" s="13">
        <f>J7*E12</f>
        <v>3.0196529041554951</v>
      </c>
      <c r="L8" s="10" t="s">
        <v>194</v>
      </c>
      <c r="O8" t="s">
        <v>152</v>
      </c>
      <c r="R8" s="13">
        <f>(E19+E20+E21)/3</f>
        <v>52.666666666666664</v>
      </c>
      <c r="S8" s="39"/>
      <c r="T8" s="41" t="s">
        <v>161</v>
      </c>
      <c r="U8">
        <f>IF(R6&lt;U7,U7,R6)</f>
        <v>17</v>
      </c>
    </row>
    <row r="9" spans="1:22">
      <c r="A9" s="44">
        <v>7</v>
      </c>
      <c r="B9" t="s">
        <v>142</v>
      </c>
      <c r="E9" s="5">
        <v>6.5</v>
      </c>
      <c r="G9" t="s">
        <v>136</v>
      </c>
      <c r="J9" s="13">
        <f>(J5*5250)/E4</f>
        <v>14.610459381854739</v>
      </c>
      <c r="L9" s="10" t="s">
        <v>195</v>
      </c>
      <c r="O9" t="s">
        <v>156</v>
      </c>
      <c r="R9" s="13">
        <f>IF(U9&lt;0,U9*-1,U9)</f>
        <v>6.6666666666666643</v>
      </c>
      <c r="S9" s="39"/>
      <c r="T9" s="41" t="s">
        <v>161</v>
      </c>
      <c r="U9" s="25">
        <f>E19-R8</f>
        <v>-6.6666666666666643</v>
      </c>
    </row>
    <row r="10" spans="1:22">
      <c r="A10" s="44">
        <v>8</v>
      </c>
      <c r="B10" t="s">
        <v>31</v>
      </c>
      <c r="E10" s="6">
        <v>0.89</v>
      </c>
      <c r="G10" t="s">
        <v>137</v>
      </c>
      <c r="J10" s="13">
        <f>(J7*5250)/E4</f>
        <v>7.8325977009962209</v>
      </c>
      <c r="L10" s="10" t="s">
        <v>196</v>
      </c>
      <c r="O10" t="s">
        <v>157</v>
      </c>
      <c r="R10" s="13">
        <f>IF(U10&lt;0,U10*-1,U10)</f>
        <v>1.3333333333333357</v>
      </c>
      <c r="S10" s="39"/>
      <c r="T10" s="41" t="s">
        <v>161</v>
      </c>
      <c r="U10" s="25">
        <f>E20-R8</f>
        <v>1.3333333333333357</v>
      </c>
    </row>
    <row r="11" spans="1:22">
      <c r="A11" s="44">
        <v>9</v>
      </c>
      <c r="B11" t="s">
        <v>76</v>
      </c>
      <c r="E11" s="4">
        <v>0.85</v>
      </c>
      <c r="G11" t="s">
        <v>174</v>
      </c>
      <c r="J11" s="13">
        <f>(E8*E6)/1000</f>
        <v>4.83</v>
      </c>
      <c r="L11" s="10" t="s">
        <v>197</v>
      </c>
      <c r="O11" t="s">
        <v>158</v>
      </c>
      <c r="R11" s="13">
        <f>IF(U11&lt;0,U11*-1,U11)</f>
        <v>5.3333333333333357</v>
      </c>
      <c r="S11" s="39"/>
      <c r="T11" s="41" t="s">
        <v>161</v>
      </c>
      <c r="U11" s="25">
        <f>E21-R8</f>
        <v>5.3333333333333357</v>
      </c>
    </row>
    <row r="12" spans="1:22">
      <c r="A12" s="44">
        <v>10</v>
      </c>
      <c r="B12" t="s">
        <v>159</v>
      </c>
      <c r="E12" s="4">
        <v>1.1499999999999999</v>
      </c>
      <c r="G12" t="s">
        <v>175</v>
      </c>
      <c r="J12" s="13">
        <f>(E7*E9*1.722)/1000</f>
        <v>2.5743899999999997</v>
      </c>
      <c r="L12" s="10" t="s">
        <v>198</v>
      </c>
      <c r="O12" t="s">
        <v>181</v>
      </c>
      <c r="R12" s="34">
        <f>U13/R8</f>
        <v>0.12658227848101261</v>
      </c>
      <c r="S12" s="38"/>
      <c r="T12" s="41" t="s">
        <v>161</v>
      </c>
      <c r="U12" s="25">
        <f>IF(R9&lt;R10,R10,R9)</f>
        <v>6.6666666666666643</v>
      </c>
    </row>
    <row r="13" spans="1:22">
      <c r="A13" s="44">
        <v>11</v>
      </c>
      <c r="B13" t="s">
        <v>52</v>
      </c>
      <c r="E13" s="5"/>
      <c r="G13" t="s">
        <v>176</v>
      </c>
      <c r="J13" s="13">
        <f>(E6*E8*E11)/1000</f>
        <v>4.1055000000000001</v>
      </c>
      <c r="L13" s="10" t="s">
        <v>199</v>
      </c>
      <c r="O13" t="s">
        <v>77</v>
      </c>
      <c r="R13" s="13">
        <f>(R3*R8*1.732)/1000</f>
        <v>42.599117333333325</v>
      </c>
      <c r="S13" s="40"/>
      <c r="T13" s="42" t="s">
        <v>185</v>
      </c>
      <c r="U13" s="25">
        <f>IF(R11&lt;U12,U12,R11)</f>
        <v>6.6666666666666643</v>
      </c>
    </row>
    <row r="14" spans="1:22">
      <c r="A14" s="44">
        <v>12</v>
      </c>
      <c r="B14" t="s">
        <v>138</v>
      </c>
      <c r="E14" s="4">
        <v>0.1</v>
      </c>
      <c r="G14" t="s">
        <v>177</v>
      </c>
      <c r="J14" s="13">
        <f>(E7*E9*E11*1.732)/1000</f>
        <v>2.200939</v>
      </c>
      <c r="L14" s="10" t="s">
        <v>200</v>
      </c>
      <c r="O14" t="s">
        <v>78</v>
      </c>
      <c r="R14" s="13">
        <f>(R3*R8*E22*1.732)/1000</f>
        <v>36.20924973333333</v>
      </c>
      <c r="S14" s="40"/>
      <c r="T14" s="42" t="s">
        <v>183</v>
      </c>
    </row>
    <row r="15" spans="1:22">
      <c r="B15" s="21" t="s">
        <v>133</v>
      </c>
      <c r="E15" s="37"/>
      <c r="G15" t="s">
        <v>178</v>
      </c>
      <c r="J15" s="15">
        <f>J13*E14</f>
        <v>0.41055000000000003</v>
      </c>
      <c r="L15" s="10" t="s">
        <v>201</v>
      </c>
      <c r="O15" t="s">
        <v>45</v>
      </c>
      <c r="R15" s="13">
        <f>(R3*R8*E22*E23*1.732)/746</f>
        <v>43.684081447721177</v>
      </c>
      <c r="S15" s="40"/>
      <c r="T15" s="42" t="s">
        <v>184</v>
      </c>
    </row>
    <row r="16" spans="1:22">
      <c r="A16" s="44">
        <v>13</v>
      </c>
      <c r="B16" t="s">
        <v>134</v>
      </c>
      <c r="E16" s="5">
        <v>479</v>
      </c>
      <c r="G16" t="s">
        <v>179</v>
      </c>
      <c r="J16" s="15">
        <f>J14*E14</f>
        <v>0.22009390000000001</v>
      </c>
      <c r="L16" s="10" t="s">
        <v>202</v>
      </c>
      <c r="O16" t="s">
        <v>182</v>
      </c>
      <c r="R16" s="15">
        <f>R14*E14</f>
        <v>3.6209249733333331</v>
      </c>
      <c r="S16" s="40"/>
      <c r="T16" s="10" t="s">
        <v>184</v>
      </c>
    </row>
    <row r="17" spans="1:19">
      <c r="A17" s="44">
        <v>14</v>
      </c>
      <c r="B17" t="s">
        <v>81</v>
      </c>
      <c r="E17" s="5">
        <v>472</v>
      </c>
      <c r="J17" s="39"/>
    </row>
    <row r="18" spans="1:19">
      <c r="A18" s="44">
        <v>15</v>
      </c>
      <c r="B18" t="s">
        <v>82</v>
      </c>
      <c r="E18" s="5">
        <v>450</v>
      </c>
    </row>
    <row r="19" spans="1:19">
      <c r="A19" s="44">
        <v>16</v>
      </c>
      <c r="B19" t="s">
        <v>135</v>
      </c>
      <c r="E19" s="28">
        <v>46</v>
      </c>
      <c r="H19" s="10" t="s">
        <v>211</v>
      </c>
      <c r="L19"/>
      <c r="N19" s="10"/>
      <c r="S19" s="3"/>
    </row>
    <row r="20" spans="1:19">
      <c r="A20" s="44">
        <v>17</v>
      </c>
      <c r="B20" t="s">
        <v>79</v>
      </c>
      <c r="E20" s="28">
        <v>54</v>
      </c>
      <c r="H20" s="10" t="s">
        <v>213</v>
      </c>
      <c r="L20"/>
      <c r="N20" s="10"/>
      <c r="S20" s="3"/>
    </row>
    <row r="21" spans="1:19">
      <c r="A21" s="44">
        <v>18</v>
      </c>
      <c r="B21" t="s">
        <v>80</v>
      </c>
      <c r="E21" s="28">
        <v>58</v>
      </c>
      <c r="H21" s="10" t="s">
        <v>207</v>
      </c>
      <c r="L21"/>
      <c r="N21" s="10"/>
      <c r="S21" s="3"/>
    </row>
    <row r="22" spans="1:19">
      <c r="A22" s="44">
        <v>19</v>
      </c>
      <c r="B22" t="s">
        <v>76</v>
      </c>
      <c r="E22" s="4">
        <v>0.85</v>
      </c>
      <c r="H22" s="10" t="s">
        <v>212</v>
      </c>
      <c r="L22"/>
      <c r="N22" s="10"/>
      <c r="S22" s="3"/>
    </row>
    <row r="23" spans="1:19">
      <c r="A23" s="44">
        <v>20</v>
      </c>
      <c r="B23" t="s">
        <v>31</v>
      </c>
      <c r="E23" s="6">
        <v>0.9</v>
      </c>
      <c r="H23" s="10" t="s">
        <v>209</v>
      </c>
      <c r="L23"/>
      <c r="N23" s="10"/>
      <c r="S23" s="3"/>
    </row>
    <row r="24" spans="1:19">
      <c r="H24" s="10" t="s">
        <v>210</v>
      </c>
      <c r="L24"/>
      <c r="N24" s="10"/>
      <c r="S24" s="3"/>
    </row>
  </sheetData>
  <pageMargins left="0.7" right="0.7" top="0.75" bottom="0.75" header="0.3" footer="0.3"/>
  <pageSetup orientation="portrait" horizontalDpi="1200" verticalDpi="1200" r:id="rId1"/>
  <ignoredErrors>
    <ignoredError sqref="L13:L14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I25" sqref="I25"/>
    </sheetView>
  </sheetViews>
  <sheetFormatPr defaultRowHeight="15"/>
  <cols>
    <col min="1" max="1" width="4.7109375" style="17" customWidth="1"/>
    <col min="2" max="2" width="26.7109375" customWidth="1"/>
    <col min="4" max="4" width="4.7109375" customWidth="1"/>
    <col min="5" max="5" width="26.7109375" customWidth="1"/>
    <col min="6" max="6" width="9.140625" style="27"/>
    <col min="7" max="8" width="4.7109375" customWidth="1"/>
    <col min="9" max="9" width="24.7109375" customWidth="1"/>
    <col min="10" max="12" width="10.7109375" customWidth="1"/>
  </cols>
  <sheetData>
    <row r="1" spans="1:13" ht="18.75" customHeight="1">
      <c r="B1" s="2" t="s">
        <v>162</v>
      </c>
      <c r="D1" s="1"/>
      <c r="E1" s="2" t="s">
        <v>0</v>
      </c>
      <c r="I1" s="30" t="s">
        <v>130</v>
      </c>
    </row>
    <row r="3" spans="1:13">
      <c r="B3" s="21" t="s">
        <v>118</v>
      </c>
      <c r="E3" s="21" t="s">
        <v>118</v>
      </c>
      <c r="I3" s="46" t="s">
        <v>86</v>
      </c>
      <c r="J3" s="46" t="s">
        <v>87</v>
      </c>
      <c r="K3" s="46" t="s">
        <v>88</v>
      </c>
      <c r="L3" s="46" t="s">
        <v>89</v>
      </c>
      <c r="M3" s="21"/>
    </row>
    <row r="4" spans="1:13">
      <c r="A4" s="17">
        <v>1</v>
      </c>
      <c r="B4" t="s">
        <v>119</v>
      </c>
      <c r="C4" s="28">
        <v>1400</v>
      </c>
      <c r="E4" t="s">
        <v>125</v>
      </c>
      <c r="F4" s="13">
        <f>(C4*0.4085)/C5^2</f>
        <v>8.9359374999999996</v>
      </c>
      <c r="I4" t="s">
        <v>90</v>
      </c>
      <c r="J4" s="1" t="s">
        <v>91</v>
      </c>
      <c r="K4" s="1">
        <v>130</v>
      </c>
      <c r="L4" s="1">
        <v>100</v>
      </c>
    </row>
    <row r="5" spans="1:13">
      <c r="A5" s="17">
        <v>2</v>
      </c>
      <c r="B5" t="s">
        <v>120</v>
      </c>
      <c r="C5" s="28">
        <v>8</v>
      </c>
      <c r="E5" t="s">
        <v>126</v>
      </c>
      <c r="F5" s="32">
        <f>F4^2/64.4</f>
        <v>1.2399220342221466</v>
      </c>
      <c r="I5" t="s">
        <v>92</v>
      </c>
      <c r="J5" s="1" t="s">
        <v>93</v>
      </c>
      <c r="K5" s="1"/>
      <c r="L5" s="1"/>
    </row>
    <row r="6" spans="1:13">
      <c r="A6" s="17">
        <v>3</v>
      </c>
      <c r="B6" t="s">
        <v>121</v>
      </c>
      <c r="C6" s="28">
        <v>100</v>
      </c>
      <c r="E6" t="s">
        <v>127</v>
      </c>
      <c r="F6" s="32">
        <f>(0.2083*((100/C7)^1.852)*(C4^1.852))/C5^4.8655</f>
        <v>3.469852165140022</v>
      </c>
      <c r="I6" t="s">
        <v>94</v>
      </c>
      <c r="J6" s="1" t="s">
        <v>95</v>
      </c>
      <c r="K6" s="1"/>
      <c r="L6" s="1"/>
    </row>
    <row r="7" spans="1:13">
      <c r="A7" s="17">
        <v>4</v>
      </c>
      <c r="B7" t="s">
        <v>122</v>
      </c>
      <c r="C7" s="28">
        <v>130</v>
      </c>
      <c r="E7" t="s">
        <v>145</v>
      </c>
      <c r="F7" s="32">
        <f>(C6/100)*F6</f>
        <v>3.469852165140022</v>
      </c>
      <c r="I7" t="s">
        <v>96</v>
      </c>
      <c r="J7" s="1" t="s">
        <v>97</v>
      </c>
      <c r="K7" s="1"/>
      <c r="L7" s="1"/>
      <c r="M7" s="25"/>
    </row>
    <row r="8" spans="1:13">
      <c r="B8" s="21" t="s">
        <v>123</v>
      </c>
      <c r="E8" t="s">
        <v>148</v>
      </c>
      <c r="F8" s="31">
        <f>(F4*C5*7745.8)/1</f>
        <v>553727.87749999994</v>
      </c>
      <c r="I8" t="s">
        <v>98</v>
      </c>
      <c r="J8" s="1" t="s">
        <v>99</v>
      </c>
      <c r="K8" s="1"/>
      <c r="L8" s="1"/>
      <c r="M8" s="25"/>
    </row>
    <row r="9" spans="1:13">
      <c r="A9" s="17">
        <v>5</v>
      </c>
      <c r="B9" t="s">
        <v>119</v>
      </c>
      <c r="C9" s="28">
        <v>900</v>
      </c>
      <c r="E9" s="21" t="s">
        <v>123</v>
      </c>
      <c r="I9" t="s">
        <v>100</v>
      </c>
      <c r="J9" s="26" t="s">
        <v>101</v>
      </c>
      <c r="K9" s="27">
        <v>130</v>
      </c>
      <c r="L9" s="27">
        <v>100</v>
      </c>
    </row>
    <row r="10" spans="1:13">
      <c r="A10" s="17">
        <v>6</v>
      </c>
      <c r="B10" t="s">
        <v>120</v>
      </c>
      <c r="C10" s="28">
        <v>6</v>
      </c>
      <c r="E10" t="s">
        <v>125</v>
      </c>
      <c r="F10" s="13">
        <f>(C9*0.4085)/C10^2</f>
        <v>10.212499999999999</v>
      </c>
      <c r="I10" t="s">
        <v>102</v>
      </c>
      <c r="J10" s="1" t="s">
        <v>91</v>
      </c>
      <c r="K10" s="1">
        <v>130</v>
      </c>
      <c r="L10" s="1">
        <v>100</v>
      </c>
    </row>
    <row r="11" spans="1:13">
      <c r="A11" s="17">
        <v>7</v>
      </c>
      <c r="B11" t="s">
        <v>121</v>
      </c>
      <c r="C11" s="28">
        <v>1000</v>
      </c>
      <c r="E11" t="s">
        <v>126</v>
      </c>
      <c r="F11" s="32">
        <f>F10^2/64.4</f>
        <v>1.6194900038819871</v>
      </c>
      <c r="I11" t="s">
        <v>103</v>
      </c>
      <c r="J11" s="1"/>
      <c r="K11" s="27">
        <v>60</v>
      </c>
      <c r="L11" s="27">
        <v>60</v>
      </c>
    </row>
    <row r="12" spans="1:13">
      <c r="A12" s="17">
        <v>8</v>
      </c>
      <c r="B12" t="s">
        <v>122</v>
      </c>
      <c r="C12" s="28">
        <v>130</v>
      </c>
      <c r="E12" t="s">
        <v>127</v>
      </c>
      <c r="F12" s="32">
        <f>(0.2083*((100/C12)^1.852)*(C9^1.852))/C10^4.8655</f>
        <v>6.2062376298834678</v>
      </c>
      <c r="I12" t="s">
        <v>104</v>
      </c>
      <c r="J12" s="1" t="s">
        <v>105</v>
      </c>
      <c r="K12" s="1">
        <v>148</v>
      </c>
      <c r="L12" s="1">
        <v>140</v>
      </c>
    </row>
    <row r="13" spans="1:13">
      <c r="B13" s="21" t="s">
        <v>124</v>
      </c>
      <c r="E13" t="s">
        <v>146</v>
      </c>
      <c r="F13" s="32">
        <f>(C11/100)*F12</f>
        <v>62.062376298834678</v>
      </c>
      <c r="I13" t="s">
        <v>106</v>
      </c>
      <c r="J13" s="1" t="s">
        <v>107</v>
      </c>
      <c r="K13" s="1"/>
      <c r="L13" s="1"/>
    </row>
    <row r="14" spans="1:13">
      <c r="A14" s="17">
        <v>9</v>
      </c>
      <c r="B14" t="s">
        <v>119</v>
      </c>
      <c r="C14" s="28">
        <v>500</v>
      </c>
      <c r="E14" s="29" t="s">
        <v>128</v>
      </c>
      <c r="F14" s="13">
        <f>F7+F13</f>
        <v>65.532228463974704</v>
      </c>
      <c r="I14" s="25" t="s">
        <v>108</v>
      </c>
      <c r="J14" s="26" t="s">
        <v>109</v>
      </c>
      <c r="K14" s="27">
        <v>140</v>
      </c>
      <c r="L14" s="27">
        <v>130</v>
      </c>
    </row>
    <row r="15" spans="1:13">
      <c r="A15" s="17">
        <v>10</v>
      </c>
      <c r="B15" t="s">
        <v>120</v>
      </c>
      <c r="C15" s="28">
        <v>5</v>
      </c>
      <c r="E15" s="29" t="s">
        <v>148</v>
      </c>
      <c r="F15" s="31">
        <f>(F10*C10*7745.8)/1</f>
        <v>474623.89499999996</v>
      </c>
      <c r="I15" s="25" t="s">
        <v>110</v>
      </c>
      <c r="J15" s="26" t="s">
        <v>111</v>
      </c>
      <c r="K15" s="27"/>
      <c r="L15" s="27"/>
    </row>
    <row r="16" spans="1:13">
      <c r="A16" s="17">
        <v>11</v>
      </c>
      <c r="B16" t="s">
        <v>121</v>
      </c>
      <c r="C16" s="28">
        <v>1000</v>
      </c>
      <c r="E16" s="21" t="s">
        <v>124</v>
      </c>
      <c r="I16" s="25" t="s">
        <v>112</v>
      </c>
      <c r="J16" s="1" t="s">
        <v>113</v>
      </c>
      <c r="K16" s="27">
        <v>120</v>
      </c>
      <c r="L16" s="27">
        <v>100</v>
      </c>
    </row>
    <row r="17" spans="1:12">
      <c r="A17" s="17">
        <v>12</v>
      </c>
      <c r="B17" t="s">
        <v>122</v>
      </c>
      <c r="C17" s="28">
        <v>130</v>
      </c>
      <c r="E17" t="s">
        <v>125</v>
      </c>
      <c r="F17" s="33">
        <f>(C14*0.4085)/C15^2</f>
        <v>8.17</v>
      </c>
      <c r="I17" t="s">
        <v>114</v>
      </c>
      <c r="J17" s="1">
        <v>140</v>
      </c>
      <c r="K17" s="1"/>
      <c r="L17" s="1"/>
    </row>
    <row r="18" spans="1:12">
      <c r="E18" t="s">
        <v>126</v>
      </c>
      <c r="F18" s="32">
        <f>F17^2/64.4</f>
        <v>1.0364736024844718</v>
      </c>
      <c r="I18" t="s">
        <v>115</v>
      </c>
      <c r="J18" s="1" t="s">
        <v>116</v>
      </c>
      <c r="K18" s="1">
        <v>155</v>
      </c>
      <c r="L18" s="1">
        <v>150</v>
      </c>
    </row>
    <row r="19" spans="1:12">
      <c r="E19" t="s">
        <v>127</v>
      </c>
      <c r="F19" s="32">
        <f>(0.2083*((100/C17)^1.852)*(C14^1.852))/C15^4.8655</f>
        <v>5.0736449625379851</v>
      </c>
      <c r="I19" s="25" t="s">
        <v>117</v>
      </c>
      <c r="J19" s="1">
        <v>140</v>
      </c>
      <c r="K19" s="1"/>
      <c r="L19" s="1"/>
    </row>
    <row r="20" spans="1:12">
      <c r="E20" t="s">
        <v>147</v>
      </c>
      <c r="F20" s="32">
        <f>(C16/100)*F19</f>
        <v>50.736449625379848</v>
      </c>
    </row>
    <row r="21" spans="1:12" ht="15" customHeight="1">
      <c r="E21" s="29" t="s">
        <v>129</v>
      </c>
      <c r="F21" s="13">
        <f>F14+F20</f>
        <v>116.26867808935455</v>
      </c>
      <c r="I21" s="45"/>
    </row>
    <row r="22" spans="1:12">
      <c r="E22" t="s">
        <v>148</v>
      </c>
      <c r="F22" s="31">
        <f>(F17*C15*7745.8)/1</f>
        <v>316415.93</v>
      </c>
      <c r="I22" s="10" t="s">
        <v>203</v>
      </c>
    </row>
    <row r="23" spans="1:12">
      <c r="I23" s="10" t="s">
        <v>204</v>
      </c>
    </row>
    <row r="24" spans="1:12">
      <c r="I24" s="10" t="s">
        <v>214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Pump Calcs</vt:lpstr>
      <vt:lpstr>AC Power &amp; Motor Calcs</vt:lpstr>
      <vt:lpstr>Simple Pipe Calcs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Evans</dc:creator>
  <cp:lastModifiedBy>Joe Evans</cp:lastModifiedBy>
  <dcterms:created xsi:type="dcterms:W3CDTF">2013-01-24T23:12:34Z</dcterms:created>
  <dcterms:modified xsi:type="dcterms:W3CDTF">2013-03-29T23:54:59Z</dcterms:modified>
</cp:coreProperties>
</file>